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tabRatio="740" activeTab="4"/>
  </bookViews>
  <sheets>
    <sheet name="01. timeline" sheetId="1" r:id="rId1"/>
    <sheet name="02. PENCARIAN AK" sheetId="2" r:id="rId2"/>
    <sheet name="03. SKP-KPT" sheetId="3" r:id="rId3"/>
    <sheet name="04. PENGUKURAN" sheetId="4" r:id="rId4"/>
    <sheet name="05. PENILAIAN" sheetId="5" r:id="rId5"/>
  </sheets>
  <definedNames>
    <definedName name="_xlfn.IFERROR" hidden="1">#NAME?</definedName>
    <definedName name="_xlnm.Print_Area" localSheetId="2">'03. SKP-KPT'!$B$2:$L$37</definedName>
    <definedName name="_xlnm.Print_Area" localSheetId="3">'04. PENGUKURAN'!$A$1:$R$41</definedName>
    <definedName name="_xlnm.Print_Area" localSheetId="4">'05. PENILAIAN'!$B$2:$T$55</definedName>
  </definedNames>
  <calcPr fullCalcOnLoad="1"/>
</workbook>
</file>

<file path=xl/comments2.xml><?xml version="1.0" encoding="utf-8"?>
<comments xmlns="http://schemas.openxmlformats.org/spreadsheetml/2006/main">
  <authors>
    <author>ifa</author>
    <author>Alif</author>
    <author>Sony</author>
  </authors>
  <commentList>
    <comment ref="I4" authorId="0">
      <text>
        <r>
          <rPr>
            <b/>
            <sz val="9"/>
            <rFont val="Tahoma"/>
            <family val="2"/>
          </rPr>
          <t>ifa:</t>
        </r>
        <r>
          <rPr>
            <sz val="9"/>
            <rFont val="Tahoma"/>
            <family val="2"/>
          </rPr>
          <t xml:space="preserve">
mengajar 9 SKS, pembimbing utama skripsi (2), pembimbing pendamping skripsi (2), penguji utama (2), penguji pendamping (1), menyusun modul (1)</t>
        </r>
      </text>
    </comment>
    <comment ref="B77" authorId="1">
      <text>
        <r>
          <rPr>
            <b/>
            <sz val="11"/>
            <rFont val="Tahoma"/>
            <family val="2"/>
          </rPr>
          <t>RUBRIK BKD LAMP V : BID PEND&amp;PENGJ</t>
        </r>
        <r>
          <rPr>
            <sz val="11"/>
            <rFont val="Tahoma"/>
            <family val="2"/>
          </rPr>
          <t xml:space="preserve">
BIMBINGAN TA (S1) Sebanyak-banyaknya 6 mhs/smt sama dengan
(sks = 1) ms berlaku 1 th
</t>
        </r>
      </text>
    </comment>
    <comment ref="B106" authorId="1">
      <text>
        <r>
          <rPr>
            <b/>
            <sz val="12"/>
            <rFont val="Tahoma"/>
            <family val="2"/>
          </rPr>
          <t xml:space="preserve">RUBRIK BKD LAMP V : </t>
        </r>
        <r>
          <rPr>
            <sz val="12"/>
            <rFont val="Tahoma"/>
            <family val="2"/>
          </rPr>
          <t xml:space="preserve">
MENGUJI TUGAS AKHIR SEBANYAK-BANYAKNYA 4 MHS PER SEMESTER 
(sks = 1) ms berlaku 1 th
</t>
        </r>
      </text>
    </comment>
    <comment ref="B83" authorId="1">
      <text>
        <r>
          <rPr>
            <b/>
            <sz val="11"/>
            <rFont val="Tahoma"/>
            <family val="2"/>
          </rPr>
          <t>RUBRIK BKD LAMP V  : BID PEND&amp;PENGJ</t>
        </r>
        <r>
          <rPr>
            <sz val="11"/>
            <rFont val="Tahoma"/>
            <family val="2"/>
          </rPr>
          <t xml:space="preserve">
BIMBINGAN TA (S3)
Sebanyak2nya 2 mhs/smt sama dengan (sks=1) ms berlaku 2 th
</t>
        </r>
      </text>
    </comment>
    <comment ref="E45" authorId="2">
      <text>
        <r>
          <rPr>
            <b/>
            <sz val="9"/>
            <rFont val="Tahoma"/>
            <family val="2"/>
          </rPr>
          <t>permenpan RB Nomor : 17/2013:
10 sks pertama</t>
        </r>
        <r>
          <rPr>
            <sz val="9"/>
            <rFont val="Tahoma"/>
            <family val="2"/>
          </rPr>
          <t xml:space="preserve">
Asisten Ahli 0,5
Lektor ke atas = 1</t>
        </r>
      </text>
    </comment>
    <comment ref="F45" authorId="2">
      <text>
        <r>
          <rPr>
            <b/>
            <sz val="9"/>
            <rFont val="Tahoma"/>
            <family val="2"/>
          </rPr>
          <t>Permenpan RB Nomor :</t>
        </r>
        <r>
          <rPr>
            <sz val="9"/>
            <rFont val="Tahoma"/>
            <family val="2"/>
          </rPr>
          <t xml:space="preserve">
17 / 2013
2 sks berikutnya
Asisten Ahli : 0,5
Lektor Ke atas : 0,25</t>
        </r>
      </text>
    </comment>
    <comment ref="C54" authorId="2">
      <text>
        <r>
          <rPr>
            <b/>
            <sz val="9"/>
            <rFont val="Tahoma"/>
            <family val="2"/>
          </rPr>
          <t>ISI ANGKA 1 JIKA SMT TSB MENJADI PILIHAN:</t>
        </r>
        <r>
          <rPr>
            <sz val="9"/>
            <rFont val="Tahoma"/>
            <family val="2"/>
          </rPr>
          <t xml:space="preserve">
</t>
        </r>
      </text>
    </comment>
    <comment ref="C55" authorId="2">
      <text>
        <r>
          <rPr>
            <sz val="9"/>
            <rFont val="Tahoma"/>
            <family val="2"/>
          </rPr>
          <t xml:space="preserve">ISI ANGKA 1 JIKA SMT TSB MENJADI PILIHAN
</t>
        </r>
      </text>
    </comment>
    <comment ref="C63" authorId="2">
      <text>
        <r>
          <rPr>
            <b/>
            <sz val="9"/>
            <rFont val="Tahoma"/>
            <family val="2"/>
          </rPr>
          <t>ISI ANGKA 1 JIKA KKN MENJADI PILIHAN PD SMT INI</t>
        </r>
        <r>
          <rPr>
            <sz val="9"/>
            <rFont val="Tahoma"/>
            <family val="2"/>
          </rPr>
          <t xml:space="preserve">
</t>
        </r>
      </text>
    </comment>
    <comment ref="C64" authorId="2">
      <text>
        <r>
          <rPr>
            <sz val="9"/>
            <rFont val="Tahoma"/>
            <family val="2"/>
          </rPr>
          <t>ISI ANGKA 1 JIKA PKN MENJADI PILIHAN PD SMT INI</t>
        </r>
      </text>
    </comment>
    <comment ref="C65" authorId="2">
      <text>
        <r>
          <rPr>
            <sz val="9"/>
            <rFont val="Tahoma"/>
            <family val="2"/>
          </rPr>
          <t>ISI ANGKA 1 JIKA PKL PENJADI PILIHAN PD SMT INI</t>
        </r>
      </text>
    </comment>
    <comment ref="D63" authorId="2">
      <text>
        <r>
          <rPr>
            <b/>
            <sz val="9"/>
            <rFont val="Tahoma"/>
            <family val="2"/>
          </rPr>
          <t>ISI ANGKA 1 JIKA KKN MENJADI PILIHAN PD SMT INI</t>
        </r>
        <r>
          <rPr>
            <sz val="9"/>
            <rFont val="Tahoma"/>
            <family val="2"/>
          </rPr>
          <t xml:space="preserve">
</t>
        </r>
      </text>
    </comment>
    <comment ref="D64" authorId="2">
      <text>
        <r>
          <rPr>
            <sz val="9"/>
            <rFont val="Tahoma"/>
            <family val="2"/>
          </rPr>
          <t>ISI ANGKA 1 JIKA PKN MENJADI PILIHAN PD SMT INI</t>
        </r>
      </text>
    </comment>
    <comment ref="D65" authorId="2">
      <text>
        <r>
          <rPr>
            <sz val="9"/>
            <rFont val="Tahoma"/>
            <family val="2"/>
          </rPr>
          <t>ISI ANGKA 1 JIKA PKL PENJADI PILIHAN PD SMT INI</t>
        </r>
      </text>
    </comment>
    <comment ref="B88" authorId="1">
      <text>
        <r>
          <rPr>
            <b/>
            <sz val="11"/>
            <rFont val="Tahoma"/>
            <family val="2"/>
          </rPr>
          <t>RUBRIK BKD LAMP V : BID PEND&amp;PENGJ</t>
        </r>
        <r>
          <rPr>
            <sz val="11"/>
            <rFont val="Tahoma"/>
            <family val="2"/>
          </rPr>
          <t xml:space="preserve">
BIMBINGAN TA (S1) Sebanyak-banyaknya 6 mhs/smt sama dengan
(sks = 1) ms berlaku 1 th
</t>
        </r>
      </text>
    </comment>
    <comment ref="B91" authorId="1">
      <text>
        <r>
          <rPr>
            <b/>
            <sz val="11"/>
            <rFont val="Tahoma"/>
            <family val="2"/>
          </rPr>
          <t>RUBRIK BKD LAMP V : BID PEND&amp;PENGJ</t>
        </r>
        <r>
          <rPr>
            <sz val="11"/>
            <rFont val="Tahoma"/>
            <family val="2"/>
          </rPr>
          <t xml:space="preserve">
BIMBINGAN TA (S2)
Sebanyak2nya 3 mhs/smt sama dengan (sks=1) ms berlaku 2 th
</t>
        </r>
      </text>
    </comment>
    <comment ref="B94" authorId="1">
      <text>
        <r>
          <rPr>
            <b/>
            <sz val="11"/>
            <rFont val="Tahoma"/>
            <family val="2"/>
          </rPr>
          <t>RUBRIK BKD LAMP V  : BID PEND&amp;PENGJ</t>
        </r>
        <r>
          <rPr>
            <sz val="11"/>
            <rFont val="Tahoma"/>
            <family val="2"/>
          </rPr>
          <t xml:space="preserve">
BIMBINGAN TA (S3)
Sebanyak2nya 2 mhs/smt sama dengan (sks=1) ms berlaku 2 th
</t>
        </r>
      </text>
    </comment>
    <comment ref="B112" authorId="1">
      <text>
        <r>
          <rPr>
            <b/>
            <sz val="12"/>
            <rFont val="Tahoma"/>
            <family val="2"/>
          </rPr>
          <t xml:space="preserve">RUBRIK BKD LAMP V : </t>
        </r>
        <r>
          <rPr>
            <sz val="12"/>
            <rFont val="Tahoma"/>
            <family val="2"/>
          </rPr>
          <t xml:space="preserve">
MENGUJI TUGAS AKHIR SEBANYAK-BANYAKNYA 4 MHS PER SEMESTER 
(sks = 1) ms berlaku 1 th
</t>
        </r>
      </text>
    </comment>
    <comment ref="B126" authorId="1">
      <text>
        <r>
          <rPr>
            <b/>
            <sz val="12"/>
            <rFont val="Tahoma"/>
            <family val="2"/>
          </rPr>
          <t xml:space="preserve">RUBRIK BKD LAMP V : </t>
        </r>
        <r>
          <rPr>
            <sz val="12"/>
            <rFont val="Tahoma"/>
            <family val="2"/>
          </rPr>
          <t xml:space="preserve">
BIMBINGAN AKADEMIK TERHADAP SETIAP 12 MHS PER SEMESTER 
(sks = 1) ms berlaku 1 th
</t>
        </r>
      </text>
    </comment>
    <comment ref="B80" authorId="1">
      <text>
        <r>
          <rPr>
            <b/>
            <sz val="12"/>
            <rFont val="Tahoma"/>
            <family val="2"/>
          </rPr>
          <t xml:space="preserve">RUBRIK BKD LAMP V : </t>
        </r>
        <r>
          <rPr>
            <sz val="12"/>
            <rFont val="Tahoma"/>
            <family val="2"/>
          </rPr>
          <t xml:space="preserve">
MENGUJI TUGAS AKHIR SEBANYAK-BANYAKNYA 4 MHS PER SEMESTER 
(sks = 1) ms berlaku 1 th
</t>
        </r>
      </text>
    </comment>
    <comment ref="B89" authorId="1">
      <text>
        <r>
          <rPr>
            <b/>
            <sz val="11"/>
            <rFont val="Tahoma"/>
            <family val="2"/>
          </rPr>
          <t>RUBRIK BKD LAMP V : BID PEND&amp;PENGJ</t>
        </r>
        <r>
          <rPr>
            <sz val="11"/>
            <rFont val="Tahoma"/>
            <family val="2"/>
          </rPr>
          <t xml:space="preserve">
BIMBINGAN TA (S1) Sebanyak-banyaknya 6 mhs/smt sama dengan
(sks = 1) ms berlaku 1 th
</t>
        </r>
      </text>
    </comment>
  </commentList>
</comments>
</file>

<file path=xl/sharedStrings.xml><?xml version="1.0" encoding="utf-8"?>
<sst xmlns="http://schemas.openxmlformats.org/spreadsheetml/2006/main" count="703" uniqueCount="380">
  <si>
    <t>FORMULIR SASARAN KERJA</t>
  </si>
  <si>
    <t>NO</t>
  </si>
  <si>
    <t>I. PEJABAT PENILAI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</si>
  <si>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</si>
  <si>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</si>
  <si>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</si>
  <si>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</si>
  <si>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</si>
  <si>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</si>
  <si>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</si>
  <si>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</si>
  <si>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</si>
  <si>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</si>
  <si>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</si>
  <si>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</si>
  <si>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</si>
  <si>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</si>
  <si>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</si>
  <si>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</si>
  <si>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II. TUGAS TAMBAHAN DAN KREATIVITAS/UNSUR PENUNJANG :</t>
  </si>
  <si>
    <t>NILAI CAPAIAN SKP</t>
  </si>
  <si>
    <t>AK</t>
  </si>
  <si>
    <t>KUANT/OUTPUT</t>
  </si>
  <si>
    <t>Kuant/ Output</t>
  </si>
  <si>
    <t>Pejabat Penilai,</t>
  </si>
  <si>
    <t>III. KEGIATAN TUGAS JABATAN</t>
  </si>
  <si>
    <t>I. Kegiatan Tugas  Jabatan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</si>
  <si>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</si>
  <si>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</si>
  <si>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</si>
  <si>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</si>
  <si>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</si>
  <si>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</si>
  <si>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</si>
  <si>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</si>
  <si>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</si>
  <si>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</si>
  <si>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</si>
  <si>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</si>
  <si>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</si>
  <si>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</si>
  <si>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UNSUR YANG DINILAI</t>
  </si>
  <si>
    <t>Jumlah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</si>
  <si>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</si>
  <si>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</si>
  <si>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</si>
  <si>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</si>
  <si>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</si>
  <si>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</si>
  <si>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</si>
  <si>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8. Nilai rata – rata</t>
  </si>
  <si>
    <t>NILAI PRESTASI KERJA</t>
  </si>
  <si>
    <t>Tanggal, ………………….</t>
  </si>
  <si>
    <t xml:space="preserve">a. Sasaran Kerja Pegawai (SKP)             </t>
  </si>
  <si>
    <t xml:space="preserve">     4.</t>
  </si>
  <si>
    <t>6. TANGGAPAN PEJABAT PENILAI</t>
  </si>
  <si>
    <t>7. KEPUTUSAN ATASAN PEJABAT</t>
  </si>
  <si>
    <t xml:space="preserve">    ATAS KEBERATAN</t>
  </si>
  <si>
    <t xml:space="preserve">    PENILAI ATAS KEBERATAN</t>
  </si>
  <si>
    <t>b. Perilaku Kerja</t>
  </si>
  <si>
    <t>x</t>
  </si>
  <si>
    <t>9. Nilai Perilaku Kerja</t>
  </si>
  <si>
    <t>PENILAIAN PRESTASI KERJA</t>
  </si>
  <si>
    <t>JANGKA WAKTU PENILAIAN</t>
  </si>
  <si>
    <t>YANG DINILAI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</si>
  <si>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</si>
  <si>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</t>
    </r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</si>
  <si>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</si>
  <si>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Jabatan/Pekerjaan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</si>
  <si>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</si>
  <si>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>PEJABAT PENILAI</t>
  </si>
  <si>
    <t>ATASAN PEJABAT PENILAI</t>
  </si>
  <si>
    <t xml:space="preserve">     1.</t>
  </si>
  <si>
    <t xml:space="preserve">     2.</t>
  </si>
  <si>
    <t xml:space="preserve">     3.</t>
  </si>
  <si>
    <t>8.</t>
  </si>
  <si>
    <t>REKOMENDASI</t>
  </si>
  <si>
    <t>10.</t>
  </si>
  <si>
    <t>Melaksanakan perkuliahan</t>
  </si>
  <si>
    <t>Sem Genap TA 2013</t>
  </si>
  <si>
    <t>Mata Kuliah</t>
  </si>
  <si>
    <t>SKS</t>
  </si>
  <si>
    <t>Jumlah Kelas</t>
  </si>
  <si>
    <t>Jumlah Dosen Pengampu</t>
  </si>
  <si>
    <t>Total SKS/Sem</t>
  </si>
  <si>
    <t>Jumlah AK</t>
  </si>
  <si>
    <t>sks</t>
  </si>
  <si>
    <t>bln</t>
  </si>
  <si>
    <t>SKS Riil</t>
  </si>
  <si>
    <t>Rekapitulasi</t>
  </si>
  <si>
    <t>-</t>
  </si>
  <si>
    <t>Pangkat/jabatan sekarang</t>
  </si>
  <si>
    <t>Pangkat/jabatan yang dituju</t>
  </si>
  <si>
    <t>Rencana ditempuh dalam waktu</t>
  </si>
  <si>
    <t>tahun</t>
  </si>
  <si>
    <t>Membimbing mahasiswa seminar</t>
  </si>
  <si>
    <t>Pelaksanaan</t>
  </si>
  <si>
    <t>semester</t>
  </si>
  <si>
    <t>*) Tulis angka 1 jika dilaksanakan pada semester tersebut</t>
  </si>
  <si>
    <t>a. KKN</t>
  </si>
  <si>
    <t>b. PKN</t>
  </si>
  <si>
    <t>c. PKL</t>
  </si>
  <si>
    <t>Skripsi</t>
  </si>
  <si>
    <t>Nama mahasiswa</t>
  </si>
  <si>
    <t>Pembimbing</t>
  </si>
  <si>
    <t>Utama</t>
  </si>
  <si>
    <t>Pembantu</t>
  </si>
  <si>
    <t>Jumlah pembimbing pembantu</t>
  </si>
  <si>
    <t>Penguji</t>
  </si>
  <si>
    <t>Ketua</t>
  </si>
  <si>
    <t>Anggota</t>
  </si>
  <si>
    <t>Jumlah anggota penguji</t>
  </si>
  <si>
    <t>Ketua (1)</t>
  </si>
  <si>
    <t>Anggota (0.5)</t>
  </si>
  <si>
    <t>Membina kegiatan kemahasiswaan di bidang akademik dan kemahasiswaan</t>
  </si>
  <si>
    <t>AK (2/sem)</t>
  </si>
  <si>
    <t>Mengembangkan bahan kuliah</t>
  </si>
  <si>
    <t>Jenis bahan kuliah</t>
  </si>
  <si>
    <t>Buku ajar</t>
  </si>
  <si>
    <t>jumlah</t>
  </si>
  <si>
    <t>AK/bahan kuliah</t>
  </si>
  <si>
    <t>Diktat</t>
  </si>
  <si>
    <t>Modul</t>
  </si>
  <si>
    <t>Petunjuk Praktikum</t>
  </si>
  <si>
    <t>Model</t>
  </si>
  <si>
    <t>Alat bantu</t>
  </si>
  <si>
    <t>Audio visual</t>
  </si>
  <si>
    <t>Naskah tutorial</t>
  </si>
  <si>
    <t>naskah</t>
  </si>
  <si>
    <t>PELAKSANAAN PENDIDIKAN</t>
  </si>
  <si>
    <t>PELAKSANAAN PENELITIAN</t>
  </si>
  <si>
    <t>Menghasilkan karya ilmiah</t>
  </si>
  <si>
    <t>Monograf</t>
  </si>
  <si>
    <t>Buku referensi</t>
  </si>
  <si>
    <t xml:space="preserve">Jenis karya ilmiah </t>
  </si>
  <si>
    <t>Poster internasional</t>
  </si>
  <si>
    <t>Poster nasional</t>
  </si>
  <si>
    <t>Artikel di majalah/koran</t>
  </si>
  <si>
    <t>Makalah disajikan di seminar internasional</t>
  </si>
  <si>
    <t>Makalah disajikan di seminar nasional</t>
  </si>
  <si>
    <t>Artikel di jurnal ilmiah internasional</t>
  </si>
  <si>
    <t>Artikel di jurnal ilmiah nasional terakreditasi</t>
  </si>
  <si>
    <t>Artikel di jurnal ilmiah nasional</t>
  </si>
  <si>
    <t>PELAKSANAAN PENGABDIAN KEPADA MASYARAKAT</t>
  </si>
  <si>
    <t xml:space="preserve">Satu semester atau lebih </t>
  </si>
  <si>
    <t>Kurang dari satu semester atau minimal 1 bulan</t>
  </si>
  <si>
    <t>Insidental</t>
  </si>
  <si>
    <t>Jumlah program</t>
  </si>
  <si>
    <t>AK/prog</t>
  </si>
  <si>
    <t>(sebagai dosen wali, sebagai dosen pembimbing organisasi kegiatan mahasiswa, dll)</t>
  </si>
  <si>
    <t>UNSUR PENUNJANG</t>
  </si>
  <si>
    <t>Total SKS = (jml tatap muka dosesn ybs/total tatap muka) * SKS</t>
  </si>
  <si>
    <t>*) asumsi jumlah tatap muka masing-masing dosen sama</t>
  </si>
  <si>
    <t>(1)</t>
  </si>
  <si>
    <t>(2)</t>
  </si>
  <si>
    <t>(3)</t>
  </si>
  <si>
    <t>(4)</t>
  </si>
  <si>
    <t>(5) = (2)*(3)/(4)</t>
  </si>
  <si>
    <t>Membimbing mahasiswa seminar angka kreditnya 1 setiap semester</t>
  </si>
  <si>
    <t>Membimbing mahasiswa PKN (≥S1), KKN (S1), PKL (S0) angka kreditnya 1 setiap semester</t>
  </si>
  <si>
    <t>Terstruktur</t>
  </si>
  <si>
    <t>jam</t>
  </si>
  <si>
    <t>Tatap muka</t>
  </si>
  <si>
    <t>Mandiri</t>
  </si>
  <si>
    <t>tatap muka</t>
  </si>
  <si>
    <t>jam/minggu</t>
  </si>
  <si>
    <t>jam/semester</t>
  </si>
  <si>
    <t>I</t>
  </si>
  <si>
    <t>II</t>
  </si>
  <si>
    <t>III</t>
  </si>
  <si>
    <t>IV</t>
  </si>
  <si>
    <t>V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</si>
  <si>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</si>
  <si>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</si>
  <si>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</si>
  <si>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</si>
  <si>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</si>
  <si>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</si>
  <si>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</si>
  <si>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</si>
  <si>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</t>
  </si>
  <si>
    <t>OKT</t>
  </si>
  <si>
    <t>NOV</t>
  </si>
  <si>
    <t>DES</t>
  </si>
  <si>
    <t>16 SKS</t>
  </si>
  <si>
    <t>PEMBIMBINGAN = KECUKUPAN PEMBIMBINGAN + JADWAL PEMBIMBINGAN</t>
  </si>
  <si>
    <t>SKP</t>
  </si>
  <si>
    <t>Mengajar 9 sks</t>
  </si>
  <si>
    <t>Deskripsi Pekerjaan</t>
  </si>
  <si>
    <t>jam/mg</t>
  </si>
  <si>
    <t>2 jam/mg/mhs</t>
  </si>
  <si>
    <t>1 jam/mg/mhs</t>
  </si>
  <si>
    <t>Naskah</t>
  </si>
  <si>
    <t>karya</t>
  </si>
  <si>
    <t>Membimbing KKN</t>
  </si>
  <si>
    <t>Memberikan pelatihan minimal 1 bulan tingkat lokal</t>
  </si>
  <si>
    <t>1 bln</t>
  </si>
  <si>
    <t>Pembimbing Skripsi (Pendamping) (2)</t>
  </si>
  <si>
    <t>Target angka kredit tahunan minimal</t>
  </si>
  <si>
    <t>Pembimbing Skripsi (Utama) (2)</t>
  </si>
  <si>
    <t>50 jam/smt</t>
  </si>
  <si>
    <t>Yang dinilai adalah kecukupan pelaksanaan kegiatan</t>
  </si>
  <si>
    <t xml:space="preserve">Perkuliahan= </t>
  </si>
  <si>
    <t>- kecukupan pembelajaran (14 minggu)</t>
  </si>
  <si>
    <t>Contoh</t>
  </si>
  <si>
    <t xml:space="preserve">- didukung bukti-bukti </t>
  </si>
  <si>
    <t>Distribusi SKS Lektor</t>
  </si>
  <si>
    <t>Pelaksanaan Pendidikan</t>
  </si>
  <si>
    <t>Pelaksanaan Penelitian</t>
  </si>
  <si>
    <t>Pelaksanaan Pengabdian kepada masyarakat</t>
  </si>
  <si>
    <t>Unsur penunjang</t>
  </si>
  <si>
    <t>SKS maksimal</t>
  </si>
  <si>
    <t>Menguji mahasiswa</t>
  </si>
  <si>
    <t>1 jam/mhs</t>
  </si>
  <si>
    <t>Menyusun modul (1)</t>
  </si>
  <si>
    <t>- harus memenuhi kecukupan dalam standar nasional pendidikan tinggi (permendikbud 49/2014)</t>
  </si>
  <si>
    <t>45%</t>
  </si>
  <si>
    <t>35%</t>
  </si>
  <si>
    <t>10%</t>
  </si>
  <si>
    <t>Menjadi penguji Ujian Akhir baik sebagai ketua maupun anggota</t>
  </si>
  <si>
    <t>Quantitas / Output</t>
  </si>
  <si>
    <t>KUANTITATIF OUTPUT</t>
  </si>
  <si>
    <t>Jabatan/Pekerjaan</t>
  </si>
  <si>
    <t>AKADEMIK</t>
  </si>
  <si>
    <t>=</t>
  </si>
  <si>
    <t xml:space="preserve">Untuk naik pangkat/jabatan dibutuhkan angka kredit sejumlah </t>
  </si>
  <si>
    <t>Jumlah 1</t>
  </si>
  <si>
    <t>Jumlah 2</t>
  </si>
  <si>
    <t>mahasiswa</t>
  </si>
  <si>
    <t>Membimbing mahasiswa KKN, Praktek Kerja Nyata, Praktek Kerja Lapangan</t>
  </si>
  <si>
    <t>Membimbing dan ikut membimbing dalam menghasilkan skripsi, thesis, disertasi</t>
  </si>
  <si>
    <t>(AK)</t>
  </si>
  <si>
    <t>Kuantitas out put</t>
  </si>
  <si>
    <t>Kuantitas/Output</t>
  </si>
  <si>
    <t>Kuantitatif/Output</t>
  </si>
  <si>
    <t>Keg</t>
  </si>
  <si>
    <t>Artikel</t>
  </si>
  <si>
    <t>Rektor</t>
  </si>
  <si>
    <t>Satuan Hasil</t>
  </si>
  <si>
    <t>Angka Kredit</t>
  </si>
  <si>
    <t>Setiap Smt</t>
  </si>
  <si>
    <t>Jml Angka Kredit</t>
  </si>
  <si>
    <t>JUMLAH</t>
  </si>
  <si>
    <t>MENDUDUKI JABATAN PIMPINAN DI PERGURUAN TINGGI</t>
  </si>
  <si>
    <t>Pembantu Rektor</t>
  </si>
  <si>
    <t>Direktur Pasca Sarjana</t>
  </si>
  <si>
    <t>Direktur Politeknik</t>
  </si>
  <si>
    <t>Direktur Akademi</t>
  </si>
  <si>
    <t>Pembantu Dekan</t>
  </si>
  <si>
    <t>Asisten Direktur Pascasarjana</t>
  </si>
  <si>
    <t>Pembantu Ketua Sekolah Tinggi</t>
  </si>
  <si>
    <t>Pembantu  Direktur Politeknik</t>
  </si>
  <si>
    <t>Pembantu Direktur Akademi</t>
  </si>
  <si>
    <t>Pemb.Direktur Akademi</t>
  </si>
  <si>
    <t>Unit Kerja (PTS)</t>
  </si>
  <si>
    <t xml:space="preserve">Nama </t>
  </si>
  <si>
    <t>9. DIBUAT TANGGAL,</t>
  </si>
  <si>
    <t>BULAN :</t>
  </si>
  <si>
    <t>angka kredit =</t>
  </si>
  <si>
    <t xml:space="preserve">Rekapitulasi </t>
  </si>
  <si>
    <t>10 SKS pertama</t>
  </si>
  <si>
    <t>10 sks Pertama</t>
  </si>
  <si>
    <t>*) Tulis angka 1 jika dilaksanakan pada semester tersebut (maksimal 2 smt)</t>
  </si>
  <si>
    <t>DISERTASI</t>
  </si>
  <si>
    <t>SKRIPSI</t>
  </si>
  <si>
    <t>TESIS</t>
  </si>
  <si>
    <t>Jumlah 1 &amp; 2</t>
  </si>
  <si>
    <t>JML MHS</t>
  </si>
  <si>
    <t>KETRANGAN</t>
  </si>
  <si>
    <t>SEMESTER</t>
  </si>
  <si>
    <t>Pemb. Pembantu (0.5)</t>
  </si>
  <si>
    <t>Pemb. Utama        (1)</t>
  </si>
  <si>
    <t>KETERANGAN</t>
  </si>
  <si>
    <t>1 ( satu ) Tahun</t>
  </si>
  <si>
    <t>AK/karya ilmiah/jurnal</t>
  </si>
  <si>
    <t>Hasil Penelitian / hasil pemikiran yg tidak dipublikasikan (tersimpan diperpustakaan PT)</t>
  </si>
  <si>
    <t>Mengedit/menyunting karya ilmiah,diterbitkan dan diedarkan secara Nasional</t>
  </si>
  <si>
    <t>Menerjemahkan/menyadur buku ilmiah diterbitkan/diedarkan secara Nasional</t>
  </si>
  <si>
    <t>Membuat rencana dan karya teknologi yang dipatenkan tingkat Internasional</t>
  </si>
  <si>
    <t>Membuat rencana dan karya teknologi yang dipatenkan tingkat Nasional</t>
  </si>
  <si>
    <t>Membuat rancangan dan karya teknologi, rancangan dan karya seni monumental/seni pertunjukan/karya sastra Tk. Internasional</t>
  </si>
  <si>
    <t>Membuat rancangan dan karya teknologi, rancangan dan karya seni monumental/seni pertunjukan/karya sastra Tk. Nasional</t>
  </si>
  <si>
    <t>Membuat rancangan dan karya teknologi, rancangan dan karya seni monumental/seni pertunjukan/karya sastra Tk. Lokal</t>
  </si>
  <si>
    <t>Menduduki jabatan pimpinan pada lembaga pemerintahan/pejabat negara yang harus dibebaskan dari jabatan organiknya</t>
  </si>
  <si>
    <t>Melaksanakan pengembangan hasil pendidikan dan penelitian yang dapat dimanfaatkan</t>
  </si>
  <si>
    <t>Membuat/menulis karya pengabdian pada masyarakat yang tidak dipublikasikan</t>
  </si>
  <si>
    <t>Satu semester/lebih Memberikan pelatihan/penyuluhan/penataran/ ceramah pada masyarakat Tingkat Internasional</t>
  </si>
  <si>
    <t>Satu Semester / LebihMemberikan pelatihan/ penyuluhan/ penataran/ ceramah pada masyarakat Tingkat Nasional</t>
  </si>
  <si>
    <t>Satu Semester / LebihMemberikan pelatihan/ penyuluhan/ penataran/ ceramah pada masyarakat Tingkat Lokal</t>
  </si>
  <si>
    <t>Kurang dari satu semesterMemberikan pelatihan/ penyuluhan/ penataran/ ceramah pada masyarakat Tingkat Nasional</t>
  </si>
  <si>
    <t>Kurang dari satu Semester Memberikan pelatihan/ penyuluhan/ penataran/ ceramah pada masyarakat Tingkat Internasional</t>
  </si>
  <si>
    <t>Kurang dari Satu semster Memberikan pelatihan/ penyuluhan/ penataran/ ceramah pada masyarakat Tingkat Lokal</t>
  </si>
  <si>
    <t>TOTAL</t>
  </si>
  <si>
    <t>Melaksanan kegiatan Pengabdian Kepada Masyarakat</t>
  </si>
  <si>
    <t>Kegiatan</t>
  </si>
  <si>
    <t>SKS berikutnya</t>
  </si>
  <si>
    <t>sks Berikut</t>
  </si>
  <si>
    <t>Keterangan</t>
  </si>
  <si>
    <t>Membina bidang akademik</t>
  </si>
  <si>
    <t>KREATIVITAS</t>
  </si>
  <si>
    <t>TUGAS TAMBAHAN</t>
  </si>
  <si>
    <t>Ketua Jurusan/Bagian</t>
  </si>
  <si>
    <t>Sekretaris Jurusan</t>
  </si>
  <si>
    <t>Kepala Laboratorium</t>
  </si>
  <si>
    <t>JUMLAH 1</t>
  </si>
  <si>
    <t>JUMLAH 2</t>
  </si>
  <si>
    <t>JUMLAH 1 &amp; 2</t>
  </si>
  <si>
    <t>JUMLAH 3</t>
  </si>
  <si>
    <t>Universitas Tribhuwana Tunggadewi</t>
  </si>
  <si>
    <t>IV/c</t>
  </si>
  <si>
    <t>Dosen dengan pendidikan S3</t>
  </si>
  <si>
    <t>Memberi pelayanan kepada masyarakat atau kegiatan lain yang menunjang pelaksanaan tugas umum pemerintah dan pembangunan berdasarkan keahlian</t>
  </si>
  <si>
    <t>Memberi pelayanan kepada masyarakat atau kegiatan lain yang menunjang pelaksanaan tugas umum pemerintah dan pembangunan berdasarkan penugasan lembaga PT</t>
  </si>
  <si>
    <t>Memberi pelayanan kepada masyarakat atau kegiatan lain yang menunjang pelaksanaan tugas umum pemerintah dan pembangunan berdasarkan fungsi/jabatan</t>
  </si>
  <si>
    <t>Jenis Kegiatan</t>
  </si>
  <si>
    <t>Total</t>
  </si>
  <si>
    <t>Dekan</t>
  </si>
  <si>
    <t>Ketua Sekolah Tinggi/Ketua LPPM</t>
  </si>
  <si>
    <t>No</t>
  </si>
  <si>
    <t xml:space="preserve"> </t>
  </si>
  <si>
    <t>12 kegiatan</t>
  </si>
  <si>
    <t>16 kegiatan</t>
  </si>
  <si>
    <t>Prof. Dr. Ir. Eko Handayanto, MSc</t>
  </si>
  <si>
    <t>195203051979031004</t>
  </si>
  <si>
    <t>Dr. Ir. Amir Hamzah, MP.</t>
  </si>
  <si>
    <t>196705272005011001</t>
  </si>
  <si>
    <t>Pembina / IVa</t>
  </si>
  <si>
    <t>Dekan Fakultas Pertanian</t>
  </si>
  <si>
    <t>Identitas dokumen:</t>
  </si>
  <si>
    <t>NIY</t>
  </si>
  <si>
    <t>PEGAWAI YAYASAN BINA PATRIA NUSANTARA</t>
  </si>
  <si>
    <t>II. PEGAWAI YAYASAN YANG DINILAI</t>
  </si>
  <si>
    <t>Pegawai Yayasan Yang Dinilai</t>
  </si>
  <si>
    <t>5. KEBERATAN DARI PEGAWAI YAYASAN YANG DINILAI  (APABILA ADA)</t>
  </si>
  <si>
    <t>PEGAWAI YAYASAN YANG DINILAI</t>
  </si>
  <si>
    <t>UNIVERSITAS TRIBHUWANA  TUNGGADEWI</t>
  </si>
  <si>
    <t>Tuliskan lengkap identitas datanya</t>
  </si>
  <si>
    <t>YAYASAN BINA PATRIA NUSANTARA</t>
  </si>
  <si>
    <t>Asisten Ahli</t>
  </si>
  <si>
    <t>III/b</t>
  </si>
  <si>
    <t>Lektor 200</t>
  </si>
  <si>
    <t>Aplikasi Grafis Arsitektur Lanskap</t>
  </si>
  <si>
    <t>Dasar Menggambar Teknik</t>
  </si>
  <si>
    <t>Pengantar Estetika</t>
  </si>
  <si>
    <t>Studio Perancangan Lanskap 2</t>
  </si>
  <si>
    <t>Penulis pertama (1 dari 2 orang) Jurnal Ilmiah Nasional Tidak Terakreditasi, judul : Konsep Taman Pekarangan Sebagai Zona Terapi Dan Edukasi Bagi Anak Autis (Studi Kasus: Sekolah Luar Biasa (SLB) Sumber Dharma Malang, Jurnal Lanskap Indonesia. Volume 9 Nomor 1 Juni 2017, Halaman 52-62. ISSN 1907-3933. e-ISSN 2087-9059</t>
  </si>
  <si>
    <t>Penulis pertama (1 dari 3 orang) Jurnal Ilmiah Nasional Tidak Terakreditasi, judul : Konsep Aksesbilitas dan Vegetasi pada Taman Bermain Anak Difabel di SLB-C Malang. Jurnal Buana Sains. Volume 17 No 1, Halaman 65-74. p-ISSN : 1412-1638, e-ISSN : 2527-5720</t>
  </si>
  <si>
    <t>Penulis pertama (1 dari 4 orang) Jurnal Ilmiah Nasional Tidak Terakreditasi, judul : Konsep Taman Edukasi pada Sekolah Dasar di Kota Malang. (Studi Kasus : SDN Lowokwaru 3 Malang). Jurnal RUAS, Volume 3 No 1 Juni 2017. ISSN : 1693-3702</t>
  </si>
  <si>
    <t>semester genap 2016/2017</t>
  </si>
  <si>
    <t>Penulis Pertama (1 dari 3 orang) Makalah  2nd International Symposium for Sustainable Landscape Development: The Concept of Historical Landscape Design at Watugong Archaeological Site Area in Malang City. IOP Conf. Series: Earth and Environmental Science 91 (2017) 012034. doi:10.1088/1755-1315/91/1/0112034. ISSN:1755-1315</t>
  </si>
  <si>
    <t>Penulis Kedua (1 dari 3 orang) Makalah  2nd International Symposium for Sustainable Landscape Development: The Influence of Vegetation Function towards the Langsep Street Thermal Comfort. IOP Conf. Series: Earth and Environmental Science 91 (2017) 012009. doi:10.1088/1755-1315/91/1/0112009. ISSN:1755-1315</t>
  </si>
  <si>
    <t>semester ganjil 2017/2018</t>
  </si>
  <si>
    <t>Pembuatan Taman Toga di Desa Tlogomas Malang (Penyuluhan kepada masyarakat tingkat lokal)</t>
  </si>
  <si>
    <t>Pemanfaatan Pekarangan Untuk Taman Toga Desa Pandansari Kecamatan Ngantang (Penyuluhan kepada masyarakat tingkat lokal)</t>
  </si>
  <si>
    <t>Konsep Tata Vegetasi Taman SDN. Lowokwaru 3 Malang (Penyuluhan kepada masyarakat tingkat lokal)</t>
  </si>
  <si>
    <t>Penyuluhan Pemanfaatan Lahan Semit dengan Metode Vertikultur</t>
  </si>
  <si>
    <t>Semester Genap 2016/2017</t>
  </si>
  <si>
    <t>Materi Pemanfaatan Pekarangan Untuk Taman Toga</t>
  </si>
  <si>
    <t>Materi Konsep Tata Vegetasi Taman SDN. Lowokwaru 3 Malang</t>
  </si>
  <si>
    <t>Anggota kepanitiaan Halal Bihalal Universitas Tribhuwana Tunggadewi</t>
  </si>
  <si>
    <t>Anggota kepanitiaan magang</t>
  </si>
  <si>
    <t>Anggota organisasi profesi nasional Ikatan Peneliti Lingkungan Binaan Indonesia (IPLBI) nomor anggota 16091001</t>
  </si>
  <si>
    <t>Berperan serta dalam Seminar Internasional : International Conference on Sustainable Architecture in Nusantara (inSAN) themed 'Nusantara as The Basic of Smart Culture for Prospering Built Environment'</t>
  </si>
  <si>
    <t>Program acara Dialog I Love Malang Raya 'Taman sebagai unsur ruang terbuka pada permukiman dan perkotaan' pada tanggal 2 mei 2017 di ATV Block Office Lt 3 Balaikota Among Tani Batu</t>
  </si>
  <si>
    <t>Ketua Program Studi Arsitektur Lanskap</t>
  </si>
  <si>
    <t xml:space="preserve">                  Malang,  3 Januari 2018</t>
  </si>
  <si>
    <t xml:space="preserve">                 Malang, 31 Desember 2018</t>
  </si>
  <si>
    <t>3 Januari s/d  31 Desember 2018</t>
  </si>
  <si>
    <t>03 Januari 2019</t>
  </si>
  <si>
    <t xml:space="preserve">    DITERIMA TANGGAL, 4 Januari 2019</t>
  </si>
  <si>
    <t>11.DITERIMA TANGGAL,  5 Januari 2019</t>
  </si>
  <si>
    <t>GENAP 2017/2018</t>
  </si>
  <si>
    <t>GANJIL 2018/2019</t>
  </si>
  <si>
    <t>Studio Perancangan Lanskap Publik</t>
  </si>
  <si>
    <t>Komunikasi Grafis Arsitektur Lanskap</t>
  </si>
  <si>
    <t>Material dan Konstruksi Bangunan Taman</t>
  </si>
  <si>
    <t>Grafik Digital Arsitektur Lanskap</t>
  </si>
  <si>
    <t>PEGAWAI YAYASAN</t>
  </si>
  <si>
    <t>Pembina Utama / IVe</t>
  </si>
  <si>
    <t>Jangka Waktu Penilaian   3 Januari s.d. 30 Desember 2018</t>
  </si>
</sst>
</file>

<file path=xl/styles.xml><?xml version="1.0" encoding="utf-8"?>
<styleSheet xmlns="http://schemas.openxmlformats.org/spreadsheetml/2006/main">
  <numFmts count="3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"/>
    <numFmt numFmtId="179" formatCode="0.0"/>
    <numFmt numFmtId="180" formatCode="[$-421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"/>
    <numFmt numFmtId="187" formatCode="0.000000"/>
    <numFmt numFmtId="188" formatCode="0.00000000"/>
    <numFmt numFmtId="189" formatCode="0.0000000"/>
    <numFmt numFmtId="190" formatCode="#,##0;[Red]#,##0"/>
    <numFmt numFmtId="191" formatCode="#,##0.00;[Red]#,##0.00"/>
    <numFmt numFmtId="192" formatCode="0.00;[Red]0.00"/>
    <numFmt numFmtId="193" formatCode="0;[Red]0"/>
    <numFmt numFmtId="194" formatCode="&quot;$&quot;#,##0.00"/>
  </numFmts>
  <fonts count="11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 Narrow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9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8"/>
      <name val="Arial Narrow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 Narrow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9"/>
      <name val="Arial"/>
      <family val="2"/>
    </font>
    <font>
      <sz val="12"/>
      <color indexed="8"/>
      <name val="Times New Roman"/>
      <family val="1"/>
    </font>
    <font>
      <b/>
      <sz val="11"/>
      <color indexed="9"/>
      <name val="Arial Narrow"/>
      <family val="2"/>
    </font>
    <font>
      <b/>
      <sz val="10"/>
      <color indexed="9"/>
      <name val="Arial"/>
      <family val="2"/>
    </font>
    <font>
      <b/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 Narrow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Arial"/>
      <family val="2"/>
    </font>
    <font>
      <b/>
      <sz val="11"/>
      <color rgb="FFFF0000"/>
      <name val="Arial Narrow"/>
      <family val="2"/>
    </font>
    <font>
      <b/>
      <sz val="11"/>
      <color theme="0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000396251678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double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double"/>
      <top style="thin"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 style="double"/>
      <top>
        <color indexed="63"/>
      </top>
      <bottom style="thin"/>
    </border>
    <border>
      <left style="thin"/>
      <right style="thin"/>
      <top style="hair"/>
      <bottom style="hair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double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double"/>
      <right style="double"/>
      <top style="thin"/>
      <bottom/>
    </border>
    <border>
      <left/>
      <right style="double"/>
      <top/>
      <bottom/>
    </border>
    <border>
      <left style="double"/>
      <right/>
      <top style="thin"/>
      <bottom/>
    </border>
    <border>
      <left/>
      <right style="double"/>
      <top style="thin"/>
      <bottom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thin"/>
      <right/>
      <top/>
      <bottom style="double"/>
    </border>
    <border>
      <left/>
      <right style="double"/>
      <top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thin"/>
      <bottom style="thin"/>
    </border>
    <border>
      <left/>
      <right style="double"/>
      <top style="double"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66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0" fillId="33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69" fontId="5" fillId="0" borderId="24" xfId="0" applyNumberFormat="1" applyFont="1" applyBorder="1" applyAlignment="1">
      <alignment horizontal="center" vertical="center"/>
    </xf>
    <xf numFmtId="178" fontId="11" fillId="0" borderId="2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7" fillId="0" borderId="27" xfId="0" applyFont="1" applyBorder="1" applyAlignment="1">
      <alignment horizontal="center"/>
    </xf>
    <xf numFmtId="0" fontId="6" fillId="0" borderId="28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169" fontId="7" fillId="0" borderId="28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0" xfId="0" applyFont="1" applyAlignment="1" quotePrefix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 vertical="center"/>
    </xf>
    <xf numFmtId="186" fontId="5" fillId="0" borderId="0" xfId="0" applyNumberFormat="1" applyFont="1" applyAlignment="1" quotePrefix="1">
      <alignment vertical="center"/>
    </xf>
    <xf numFmtId="186" fontId="5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3" fillId="0" borderId="33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14" fillId="0" borderId="33" xfId="0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178" fontId="15" fillId="0" borderId="35" xfId="0" applyNumberFormat="1" applyFont="1" applyBorder="1" applyAlignment="1">
      <alignment horizontal="center" vertical="center"/>
    </xf>
    <xf numFmtId="171" fontId="15" fillId="0" borderId="36" xfId="0" applyNumberFormat="1" applyFont="1" applyBorder="1" applyAlignment="1">
      <alignment horizontal="center" vertical="center" wrapText="1"/>
    </xf>
    <xf numFmtId="9" fontId="15" fillId="0" borderId="37" xfId="0" applyNumberFormat="1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2" fontId="17" fillId="0" borderId="39" xfId="0" applyNumberFormat="1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7" fillId="34" borderId="39" xfId="0" applyFont="1" applyFill="1" applyBorder="1" applyAlignment="1">
      <alignment wrapText="1"/>
    </xf>
    <xf numFmtId="0" fontId="15" fillId="0" borderId="38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2" fontId="17" fillId="0" borderId="38" xfId="0" applyNumberFormat="1" applyFont="1" applyBorder="1" applyAlignment="1">
      <alignment horizontal="center" vertical="center" wrapText="1"/>
    </xf>
    <xf numFmtId="9" fontId="15" fillId="0" borderId="39" xfId="0" applyNumberFormat="1" applyFont="1" applyBorder="1" applyAlignment="1">
      <alignment horizontal="center" vertical="center" wrapText="1"/>
    </xf>
    <xf numFmtId="178" fontId="15" fillId="0" borderId="0" xfId="0" applyNumberFormat="1" applyFont="1" applyBorder="1" applyAlignment="1">
      <alignment vertical="center"/>
    </xf>
    <xf numFmtId="2" fontId="15" fillId="0" borderId="38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4" xfId="0" applyBorder="1" applyAlignment="1">
      <alignment/>
    </xf>
    <xf numFmtId="0" fontId="0" fillId="0" borderId="44" xfId="0" applyBorder="1" applyAlignment="1">
      <alignment/>
    </xf>
    <xf numFmtId="0" fontId="15" fillId="0" borderId="33" xfId="0" applyFont="1" applyBorder="1" applyAlignment="1">
      <alignment horizontal="left" indent="1"/>
    </xf>
    <xf numFmtId="0" fontId="15" fillId="0" borderId="0" xfId="0" applyFont="1" applyBorder="1" applyAlignment="1">
      <alignment horizontal="left" indent="1"/>
    </xf>
    <xf numFmtId="0" fontId="15" fillId="0" borderId="0" xfId="0" applyFont="1" applyAlignment="1">
      <alignment horizontal="left" indent="1"/>
    </xf>
    <xf numFmtId="0" fontId="15" fillId="0" borderId="42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vertical="top" wrapText="1"/>
    </xf>
    <xf numFmtId="0" fontId="17" fillId="0" borderId="3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 vertical="top"/>
    </xf>
    <xf numFmtId="0" fontId="0" fillId="0" borderId="0" xfId="0" applyAlignment="1">
      <alignment vertical="top"/>
    </xf>
    <xf numFmtId="2" fontId="15" fillId="0" borderId="45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52" xfId="0" applyBorder="1" applyAlignment="1">
      <alignment/>
    </xf>
    <xf numFmtId="0" fontId="96" fillId="0" borderId="0" xfId="0" applyFont="1" applyAlignment="1">
      <alignment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/>
    </xf>
    <xf numFmtId="0" fontId="26" fillId="0" borderId="57" xfId="0" applyFont="1" applyBorder="1" applyAlignment="1">
      <alignment horizontal="center"/>
    </xf>
    <xf numFmtId="0" fontId="26" fillId="0" borderId="52" xfId="0" applyFont="1" applyBorder="1" applyAlignment="1">
      <alignment/>
    </xf>
    <xf numFmtId="0" fontId="9" fillId="0" borderId="0" xfId="0" applyFont="1" applyAlignment="1">
      <alignment/>
    </xf>
    <xf numFmtId="0" fontId="0" fillId="0" borderId="58" xfId="0" applyBorder="1" applyAlignment="1">
      <alignment/>
    </xf>
    <xf numFmtId="0" fontId="26" fillId="0" borderId="58" xfId="0" applyFont="1" applyBorder="1" applyAlignment="1">
      <alignment/>
    </xf>
    <xf numFmtId="0" fontId="26" fillId="0" borderId="57" xfId="0" applyFont="1" applyFill="1" applyBorder="1" applyAlignment="1">
      <alignment horizontal="center"/>
    </xf>
    <xf numFmtId="0" fontId="26" fillId="0" borderId="52" xfId="0" applyFont="1" applyFill="1" applyBorder="1" applyAlignment="1">
      <alignment/>
    </xf>
    <xf numFmtId="0" fontId="9" fillId="0" borderId="52" xfId="0" applyFont="1" applyBorder="1" applyAlignment="1">
      <alignment horizontal="center"/>
    </xf>
    <xf numFmtId="0" fontId="97" fillId="35" borderId="0" xfId="0" applyFont="1" applyFill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59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left" vertical="center" wrapText="1"/>
    </xf>
    <xf numFmtId="0" fontId="12" fillId="36" borderId="59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36" borderId="25" xfId="0" applyFont="1" applyFill="1" applyBorder="1" applyAlignment="1">
      <alignment vertical="center" wrapText="1"/>
    </xf>
    <xf numFmtId="0" fontId="5" fillId="36" borderId="26" xfId="0" applyFont="1" applyFill="1" applyBorder="1" applyAlignment="1">
      <alignment horizontal="center" vertical="center"/>
    </xf>
    <xf numFmtId="0" fontId="5" fillId="36" borderId="56" xfId="0" applyFont="1" applyFill="1" applyBorder="1" applyAlignment="1">
      <alignment horizontal="center" vertical="center"/>
    </xf>
    <xf numFmtId="0" fontId="5" fillId="36" borderId="53" xfId="0" applyFont="1" applyFill="1" applyBorder="1" applyAlignment="1">
      <alignment horizontal="center" vertical="center"/>
    </xf>
    <xf numFmtId="0" fontId="4" fillId="22" borderId="0" xfId="0" applyFont="1" applyFill="1" applyAlignment="1">
      <alignment horizontal="center" vertical="center"/>
    </xf>
    <xf numFmtId="0" fontId="4" fillId="22" borderId="0" xfId="0" applyFont="1" applyFill="1" applyAlignment="1">
      <alignment vertical="center"/>
    </xf>
    <xf numFmtId="0" fontId="27" fillId="22" borderId="0" xfId="0" applyFont="1" applyFill="1" applyAlignment="1">
      <alignment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169" fontId="22" fillId="36" borderId="51" xfId="0" applyNumberFormat="1" applyFont="1" applyFill="1" applyBorder="1" applyAlignment="1">
      <alignment horizontal="center" vertical="center"/>
    </xf>
    <xf numFmtId="169" fontId="22" fillId="36" borderId="22" xfId="0" applyNumberFormat="1" applyFont="1" applyFill="1" applyBorder="1" applyAlignment="1">
      <alignment horizontal="center" vertical="center"/>
    </xf>
    <xf numFmtId="0" fontId="5" fillId="36" borderId="0" xfId="0" applyFont="1" applyFill="1" applyAlignment="1">
      <alignment/>
    </xf>
    <xf numFmtId="0" fontId="4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12" fillId="36" borderId="11" xfId="0" applyFont="1" applyFill="1" applyBorder="1" applyAlignment="1">
      <alignment horizontal="center" vertical="center"/>
    </xf>
    <xf numFmtId="0" fontId="12" fillId="36" borderId="60" xfId="0" applyFont="1" applyFill="1" applyBorder="1" applyAlignment="1">
      <alignment horizontal="center" vertical="center" wrapText="1"/>
    </xf>
    <xf numFmtId="0" fontId="12" fillId="36" borderId="60" xfId="0" applyFont="1" applyFill="1" applyBorder="1" applyAlignment="1">
      <alignment horizontal="center" vertical="center"/>
    </xf>
    <xf numFmtId="1" fontId="12" fillId="36" borderId="16" xfId="0" applyNumberFormat="1" applyFont="1" applyFill="1" applyBorder="1" applyAlignment="1">
      <alignment horizontal="center" vertical="center"/>
    </xf>
    <xf numFmtId="0" fontId="12" fillId="36" borderId="61" xfId="0" applyFont="1" applyFill="1" applyBorder="1" applyAlignment="1">
      <alignment horizontal="center" vertical="center"/>
    </xf>
    <xf numFmtId="0" fontId="12" fillId="36" borderId="62" xfId="0" applyFont="1" applyFill="1" applyBorder="1" applyAlignment="1">
      <alignment horizontal="center" vertical="center" wrapText="1"/>
    </xf>
    <xf numFmtId="0" fontId="12" fillId="36" borderId="62" xfId="0" applyFont="1" applyFill="1" applyBorder="1" applyAlignment="1">
      <alignment horizontal="center" vertical="center"/>
    </xf>
    <xf numFmtId="1" fontId="12" fillId="36" borderId="59" xfId="0" applyNumberFormat="1" applyFont="1" applyFill="1" applyBorder="1" applyAlignment="1">
      <alignment horizontal="center" vertical="center"/>
    </xf>
    <xf numFmtId="0" fontId="12" fillId="36" borderId="53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 wrapText="1"/>
    </xf>
    <xf numFmtId="0" fontId="12" fillId="36" borderId="22" xfId="0" applyFont="1" applyFill="1" applyBorder="1" applyAlignment="1">
      <alignment horizontal="center" vertical="center"/>
    </xf>
    <xf numFmtId="1" fontId="12" fillId="36" borderId="21" xfId="0" applyNumberFormat="1" applyFont="1" applyFill="1" applyBorder="1" applyAlignment="1">
      <alignment horizontal="center" vertical="center"/>
    </xf>
    <xf numFmtId="169" fontId="12" fillId="36" borderId="21" xfId="0" applyNumberFormat="1" applyFont="1" applyFill="1" applyBorder="1" applyAlignment="1">
      <alignment horizontal="center" vertical="center"/>
    </xf>
    <xf numFmtId="2" fontId="12" fillId="36" borderId="16" xfId="0" applyNumberFormat="1" applyFont="1" applyFill="1" applyBorder="1" applyAlignment="1">
      <alignment horizontal="center" vertical="center"/>
    </xf>
    <xf numFmtId="2" fontId="12" fillId="36" borderId="46" xfId="0" applyNumberFormat="1" applyFont="1" applyFill="1" applyBorder="1" applyAlignment="1">
      <alignment horizontal="center" vertical="center"/>
    </xf>
    <xf numFmtId="2" fontId="12" fillId="36" borderId="59" xfId="0" applyNumberFormat="1" applyFont="1" applyFill="1" applyBorder="1" applyAlignment="1">
      <alignment horizontal="center" vertical="center"/>
    </xf>
    <xf numFmtId="2" fontId="12" fillId="36" borderId="2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71" fontId="3" fillId="0" borderId="47" xfId="0" applyNumberFormat="1" applyFont="1" applyBorder="1" applyAlignment="1">
      <alignment horizontal="center"/>
    </xf>
    <xf numFmtId="0" fontId="32" fillId="0" borderId="48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vertical="center"/>
    </xf>
    <xf numFmtId="169" fontId="7" fillId="0" borderId="23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9" fontId="7" fillId="0" borderId="18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17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vertical="center"/>
    </xf>
    <xf numFmtId="49" fontId="4" fillId="0" borderId="42" xfId="0" applyNumberFormat="1" applyFont="1" applyBorder="1" applyAlignment="1">
      <alignment/>
    </xf>
    <xf numFmtId="0" fontId="15" fillId="0" borderId="63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45" xfId="0" applyFont="1" applyBorder="1" applyAlignment="1">
      <alignment vertical="top" wrapText="1"/>
    </xf>
    <xf numFmtId="49" fontId="0" fillId="0" borderId="0" xfId="0" applyNumberFormat="1" applyFont="1" applyAlignment="1">
      <alignment/>
    </xf>
    <xf numFmtId="0" fontId="34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36" fillId="37" borderId="64" xfId="0" applyFont="1" applyFill="1" applyBorder="1" applyAlignment="1">
      <alignment vertical="center"/>
    </xf>
    <xf numFmtId="0" fontId="36" fillId="37" borderId="52" xfId="0" applyFont="1" applyFill="1" applyBorder="1" applyAlignment="1">
      <alignment vertical="center"/>
    </xf>
    <xf numFmtId="0" fontId="36" fillId="37" borderId="52" xfId="0" applyFont="1" applyFill="1" applyBorder="1" applyAlignment="1">
      <alignment horizontal="center" vertical="center"/>
    </xf>
    <xf numFmtId="0" fontId="36" fillId="37" borderId="65" xfId="0" applyFont="1" applyFill="1" applyBorder="1" applyAlignment="1">
      <alignment horizontal="center" vertical="center"/>
    </xf>
    <xf numFmtId="0" fontId="36" fillId="0" borderId="66" xfId="0" applyFont="1" applyBorder="1" applyAlignment="1">
      <alignment vertical="center"/>
    </xf>
    <xf numFmtId="0" fontId="36" fillId="36" borderId="0" xfId="0" applyFont="1" applyFill="1" applyBorder="1" applyAlignment="1">
      <alignment vertical="center"/>
    </xf>
    <xf numFmtId="190" fontId="0" fillId="0" borderId="0" xfId="0" applyNumberFormat="1" applyFont="1" applyAlignment="1">
      <alignment/>
    </xf>
    <xf numFmtId="190" fontId="9" fillId="0" borderId="17" xfId="0" applyNumberFormat="1" applyFont="1" applyBorder="1" applyAlignment="1">
      <alignment horizontal="center" vertical="center" wrapText="1"/>
    </xf>
    <xf numFmtId="190" fontId="10" fillId="33" borderId="16" xfId="0" applyNumberFormat="1" applyFont="1" applyFill="1" applyBorder="1" applyAlignment="1">
      <alignment horizontal="center" vertical="center" wrapText="1"/>
    </xf>
    <xf numFmtId="190" fontId="10" fillId="0" borderId="47" xfId="0" applyNumberFormat="1" applyFont="1" applyFill="1" applyBorder="1" applyAlignment="1">
      <alignment horizontal="center" vertical="center" wrapText="1"/>
    </xf>
    <xf numFmtId="190" fontId="12" fillId="36" borderId="21" xfId="0" applyNumberFormat="1" applyFont="1" applyFill="1" applyBorder="1" applyAlignment="1">
      <alignment horizontal="center" vertical="center"/>
    </xf>
    <xf numFmtId="190" fontId="7" fillId="0" borderId="28" xfId="0" applyNumberFormat="1" applyFont="1" applyBorder="1" applyAlignment="1">
      <alignment horizontal="center"/>
    </xf>
    <xf numFmtId="190" fontId="0" fillId="0" borderId="0" xfId="0" applyNumberFormat="1" applyAlignment="1">
      <alignment/>
    </xf>
    <xf numFmtId="190" fontId="0" fillId="0" borderId="0" xfId="0" applyNumberFormat="1" applyFont="1" applyAlignment="1">
      <alignment/>
    </xf>
    <xf numFmtId="0" fontId="27" fillId="0" borderId="0" xfId="0" applyFont="1" applyAlignment="1">
      <alignment vertical="center"/>
    </xf>
    <xf numFmtId="0" fontId="4" fillId="38" borderId="67" xfId="0" applyFont="1" applyFill="1" applyBorder="1" applyAlignment="1">
      <alignment vertical="center"/>
    </xf>
    <xf numFmtId="0" fontId="36" fillId="38" borderId="67" xfId="0" applyFont="1" applyFill="1" applyBorder="1" applyAlignment="1">
      <alignment vertical="center"/>
    </xf>
    <xf numFmtId="0" fontId="98" fillId="36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98" fillId="0" borderId="0" xfId="0" applyFont="1" applyAlignment="1">
      <alignment horizontal="center" vertical="center"/>
    </xf>
    <xf numFmtId="0" fontId="36" fillId="35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68" xfId="0" applyFont="1" applyBorder="1" applyAlignment="1">
      <alignment vertical="center"/>
    </xf>
    <xf numFmtId="0" fontId="36" fillId="0" borderId="69" xfId="0" applyFont="1" applyBorder="1" applyAlignment="1">
      <alignment vertical="center"/>
    </xf>
    <xf numFmtId="0" fontId="98" fillId="35" borderId="0" xfId="0" applyFont="1" applyFill="1" applyAlignment="1">
      <alignment horizontal="center" vertical="center"/>
    </xf>
    <xf numFmtId="0" fontId="36" fillId="0" borderId="67" xfId="0" applyFont="1" applyBorder="1" applyAlignment="1">
      <alignment horizontal="left" vertical="center"/>
    </xf>
    <xf numFmtId="0" fontId="36" fillId="0" borderId="70" xfId="0" applyFont="1" applyBorder="1" applyAlignment="1" quotePrefix="1">
      <alignment horizontal="left" vertical="center"/>
    </xf>
    <xf numFmtId="0" fontId="36" fillId="0" borderId="52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0" borderId="67" xfId="0" applyFont="1" applyBorder="1" applyAlignment="1">
      <alignment vertical="center"/>
    </xf>
    <xf numFmtId="0" fontId="36" fillId="0" borderId="70" xfId="0" applyFont="1" applyBorder="1" applyAlignment="1" quotePrefix="1">
      <alignment vertical="center"/>
    </xf>
    <xf numFmtId="0" fontId="36" fillId="0" borderId="0" xfId="0" applyFont="1" applyBorder="1" applyAlignment="1">
      <alignment vertical="center"/>
    </xf>
    <xf numFmtId="0" fontId="36" fillId="0" borderId="71" xfId="0" applyFont="1" applyBorder="1" applyAlignment="1">
      <alignment vertical="center"/>
    </xf>
    <xf numFmtId="0" fontId="36" fillId="0" borderId="72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98" fillId="0" borderId="0" xfId="0" applyFont="1" applyAlignment="1">
      <alignment vertical="center"/>
    </xf>
    <xf numFmtId="0" fontId="36" fillId="39" borderId="0" xfId="0" applyFont="1" applyFill="1" applyAlignment="1">
      <alignment vertical="center"/>
    </xf>
    <xf numFmtId="0" fontId="98" fillId="36" borderId="0" xfId="0" applyFont="1" applyFill="1" applyAlignment="1">
      <alignment vertical="center"/>
    </xf>
    <xf numFmtId="0" fontId="36" fillId="22" borderId="0" xfId="0" applyFont="1" applyFill="1" applyAlignment="1">
      <alignment vertical="center"/>
    </xf>
    <xf numFmtId="0" fontId="98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36" fillId="7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193" fontId="36" fillId="0" borderId="52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14" borderId="0" xfId="0" applyFont="1" applyFill="1" applyAlignment="1">
      <alignment horizontal="center" vertical="center"/>
    </xf>
    <xf numFmtId="0" fontId="36" fillId="38" borderId="74" xfId="0" applyFont="1" applyFill="1" applyBorder="1" applyAlignment="1" quotePrefix="1">
      <alignment horizontal="center" vertical="center"/>
    </xf>
    <xf numFmtId="0" fontId="36" fillId="38" borderId="75" xfId="0" applyFont="1" applyFill="1" applyBorder="1" applyAlignment="1" quotePrefix="1">
      <alignment horizontal="center" vertical="center" wrapText="1"/>
    </xf>
    <xf numFmtId="0" fontId="36" fillId="38" borderId="76" xfId="0" applyFont="1" applyFill="1" applyBorder="1" applyAlignment="1" quotePrefix="1">
      <alignment horizontal="center" vertical="center"/>
    </xf>
    <xf numFmtId="0" fontId="36" fillId="40" borderId="0" xfId="0" applyFont="1" applyFill="1" applyAlignment="1">
      <alignment vertical="center"/>
    </xf>
    <xf numFmtId="0" fontId="98" fillId="0" borderId="0" xfId="0" applyFont="1" applyFill="1" applyBorder="1" applyAlignment="1">
      <alignment vertical="center"/>
    </xf>
    <xf numFmtId="0" fontId="4" fillId="36" borderId="0" xfId="0" applyFont="1" applyFill="1" applyAlignment="1">
      <alignment horizontal="left" vertical="center" wrapText="1"/>
    </xf>
    <xf numFmtId="0" fontId="4" fillId="22" borderId="0" xfId="0" applyFont="1" applyFill="1" applyAlignment="1">
      <alignment vertical="center" wrapText="1"/>
    </xf>
    <xf numFmtId="0" fontId="98" fillId="22" borderId="0" xfId="0" applyFont="1" applyFill="1" applyAlignment="1">
      <alignment horizontal="center" vertical="center"/>
    </xf>
    <xf numFmtId="0" fontId="36" fillId="0" borderId="52" xfId="0" applyFont="1" applyBorder="1" applyAlignment="1">
      <alignment vertical="center"/>
    </xf>
    <xf numFmtId="0" fontId="36" fillId="0" borderId="72" xfId="0" applyFont="1" applyBorder="1" applyAlignment="1">
      <alignment vertical="center"/>
    </xf>
    <xf numFmtId="0" fontId="36" fillId="10" borderId="0" xfId="0" applyFont="1" applyFill="1" applyAlignment="1">
      <alignment vertical="center"/>
    </xf>
    <xf numFmtId="0" fontId="36" fillId="10" borderId="0" xfId="0" applyFont="1" applyFill="1" applyAlignment="1">
      <alignment horizontal="center" vertical="center"/>
    </xf>
    <xf numFmtId="0" fontId="36" fillId="0" borderId="33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4" fillId="2" borderId="52" xfId="0" applyFont="1" applyFill="1" applyBorder="1" applyAlignment="1">
      <alignment horizontal="center" vertical="center"/>
    </xf>
    <xf numFmtId="0" fontId="4" fillId="37" borderId="67" xfId="0" applyFont="1" applyFill="1" applyBorder="1" applyAlignment="1">
      <alignment vertical="center"/>
    </xf>
    <xf numFmtId="0" fontId="36" fillId="37" borderId="65" xfId="0" applyFont="1" applyFill="1" applyBorder="1" applyAlignment="1">
      <alignment vertical="center"/>
    </xf>
    <xf numFmtId="0" fontId="38" fillId="7" borderId="64" xfId="0" applyFont="1" applyFill="1" applyBorder="1" applyAlignment="1" quotePrefix="1">
      <alignment horizontal="center" vertical="center"/>
    </xf>
    <xf numFmtId="0" fontId="36" fillId="7" borderId="65" xfId="0" applyFont="1" applyFill="1" applyBorder="1" applyAlignment="1">
      <alignment horizontal="center" vertical="center"/>
    </xf>
    <xf numFmtId="0" fontId="99" fillId="36" borderId="64" xfId="0" applyFont="1" applyFill="1" applyBorder="1" applyAlignment="1" quotePrefix="1">
      <alignment horizontal="center" vertical="center"/>
    </xf>
    <xf numFmtId="0" fontId="36" fillId="0" borderId="0" xfId="0" applyFont="1" applyAlignment="1">
      <alignment horizontal="left" vertical="center"/>
    </xf>
    <xf numFmtId="0" fontId="99" fillId="36" borderId="0" xfId="0" applyFont="1" applyFill="1" applyBorder="1" applyAlignment="1" quotePrefix="1">
      <alignment horizontal="center" vertical="center"/>
    </xf>
    <xf numFmtId="0" fontId="36" fillId="7" borderId="52" xfId="0" applyFont="1" applyFill="1" applyBorder="1" applyAlignment="1">
      <alignment horizontal="center" vertical="center"/>
    </xf>
    <xf numFmtId="0" fontId="36" fillId="36" borderId="0" xfId="0" applyFont="1" applyFill="1" applyAlignment="1">
      <alignment horizontal="center" vertical="center"/>
    </xf>
    <xf numFmtId="0" fontId="36" fillId="36" borderId="0" xfId="0" applyFont="1" applyFill="1" applyAlignment="1">
      <alignment horizontal="left" vertical="center"/>
    </xf>
    <xf numFmtId="0" fontId="36" fillId="36" borderId="0" xfId="0" applyFont="1" applyFill="1" applyAlignment="1">
      <alignment vertical="center"/>
    </xf>
    <xf numFmtId="0" fontId="99" fillId="37" borderId="64" xfId="0" applyFont="1" applyFill="1" applyBorder="1" applyAlignment="1" quotePrefix="1">
      <alignment horizontal="center" vertical="center"/>
    </xf>
    <xf numFmtId="0" fontId="99" fillId="37" borderId="0" xfId="0" applyFont="1" applyFill="1" applyBorder="1" applyAlignment="1" quotePrefix="1">
      <alignment horizontal="center" vertical="center"/>
    </xf>
    <xf numFmtId="0" fontId="36" fillId="38" borderId="52" xfId="0" applyFont="1" applyFill="1" applyBorder="1" applyAlignment="1">
      <alignment vertical="center"/>
    </xf>
    <xf numFmtId="0" fontId="36" fillId="38" borderId="65" xfId="0" applyFont="1" applyFill="1" applyBorder="1" applyAlignment="1">
      <alignment vertical="center"/>
    </xf>
    <xf numFmtId="0" fontId="4" fillId="22" borderId="0" xfId="0" applyFont="1" applyFill="1" applyAlignment="1">
      <alignment horizontal="right" vertical="center"/>
    </xf>
    <xf numFmtId="0" fontId="38" fillId="0" borderId="0" xfId="0" applyFont="1" applyAlignment="1" quotePrefix="1">
      <alignment horizontal="center" vertical="center"/>
    </xf>
    <xf numFmtId="0" fontId="38" fillId="36" borderId="0" xfId="0" applyFont="1" applyFill="1" applyBorder="1" applyAlignment="1" quotePrefix="1">
      <alignment horizontal="center" vertical="center"/>
    </xf>
    <xf numFmtId="0" fontId="36" fillId="18" borderId="0" xfId="0" applyFont="1" applyFill="1" applyAlignment="1">
      <alignment horizontal="center" vertical="center"/>
    </xf>
    <xf numFmtId="0" fontId="36" fillId="38" borderId="52" xfId="0" applyFont="1" applyFill="1" applyBorder="1" applyAlignment="1">
      <alignment horizontal="center" vertical="center"/>
    </xf>
    <xf numFmtId="0" fontId="38" fillId="38" borderId="0" xfId="0" applyFont="1" applyFill="1" applyBorder="1" applyAlignment="1" quotePrefix="1">
      <alignment horizontal="center" vertical="center"/>
    </xf>
    <xf numFmtId="0" fontId="36" fillId="2" borderId="72" xfId="0" applyFont="1" applyFill="1" applyBorder="1" applyAlignment="1">
      <alignment horizontal="center" vertical="center"/>
    </xf>
    <xf numFmtId="0" fontId="36" fillId="2" borderId="73" xfId="0" applyFont="1" applyFill="1" applyBorder="1" applyAlignment="1">
      <alignment horizontal="center" vertical="center"/>
    </xf>
    <xf numFmtId="0" fontId="98" fillId="36" borderId="0" xfId="0" applyFont="1" applyFill="1" applyAlignment="1">
      <alignment horizontal="center" vertical="center"/>
    </xf>
    <xf numFmtId="0" fontId="36" fillId="0" borderId="65" xfId="0" applyFont="1" applyBorder="1" applyAlignment="1">
      <alignment vertical="center"/>
    </xf>
    <xf numFmtId="0" fontId="36" fillId="0" borderId="77" xfId="0" applyFont="1" applyBorder="1" applyAlignment="1">
      <alignment horizontal="center" vertical="center"/>
    </xf>
    <xf numFmtId="0" fontId="36" fillId="0" borderId="73" xfId="0" applyFont="1" applyBorder="1" applyAlignment="1">
      <alignment vertical="center"/>
    </xf>
    <xf numFmtId="0" fontId="36" fillId="35" borderId="0" xfId="0" applyFont="1" applyFill="1" applyAlignment="1">
      <alignment vertical="center"/>
    </xf>
    <xf numFmtId="0" fontId="36" fillId="18" borderId="0" xfId="0" applyFont="1" applyFill="1" applyAlignment="1">
      <alignment vertical="center"/>
    </xf>
    <xf numFmtId="0" fontId="98" fillId="0" borderId="0" xfId="0" applyFont="1" applyFill="1" applyAlignment="1">
      <alignment vertical="center"/>
    </xf>
    <xf numFmtId="0" fontId="98" fillId="41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100" fillId="0" borderId="0" xfId="0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36" borderId="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6" fillId="38" borderId="0" xfId="0" applyFont="1" applyFill="1" applyBorder="1" applyAlignment="1">
      <alignment vertical="center"/>
    </xf>
    <xf numFmtId="0" fontId="36" fillId="38" borderId="0" xfId="0" applyFont="1" applyFill="1" applyBorder="1" applyAlignment="1">
      <alignment horizontal="right" vertical="center"/>
    </xf>
    <xf numFmtId="0" fontId="4" fillId="38" borderId="0" xfId="0" applyFont="1" applyFill="1" applyBorder="1" applyAlignment="1">
      <alignment vertical="center"/>
    </xf>
    <xf numFmtId="0" fontId="36" fillId="38" borderId="65" xfId="0" applyFont="1" applyFill="1" applyBorder="1" applyAlignment="1">
      <alignment horizontal="center" vertical="center"/>
    </xf>
    <xf numFmtId="0" fontId="4" fillId="38" borderId="65" xfId="0" applyFont="1" applyFill="1" applyBorder="1" applyAlignment="1">
      <alignment horizontal="center" vertical="center"/>
    </xf>
    <xf numFmtId="0" fontId="36" fillId="38" borderId="70" xfId="0" applyFont="1" applyFill="1" applyBorder="1" applyAlignment="1">
      <alignment horizontal="center" vertical="center"/>
    </xf>
    <xf numFmtId="0" fontId="36" fillId="3" borderId="72" xfId="0" applyFont="1" applyFill="1" applyBorder="1" applyAlignment="1">
      <alignment horizontal="center" vertical="center"/>
    </xf>
    <xf numFmtId="0" fontId="36" fillId="3" borderId="73" xfId="0" applyFont="1" applyFill="1" applyBorder="1" applyAlignment="1">
      <alignment horizontal="center" vertical="center"/>
    </xf>
    <xf numFmtId="0" fontId="100" fillId="36" borderId="0" xfId="0" applyFont="1" applyFill="1" applyAlignment="1">
      <alignment vertical="center"/>
    </xf>
    <xf numFmtId="0" fontId="36" fillId="38" borderId="78" xfId="0" applyFont="1" applyFill="1" applyBorder="1" applyAlignment="1">
      <alignment horizontal="center" vertical="center"/>
    </xf>
    <xf numFmtId="0" fontId="36" fillId="38" borderId="76" xfId="0" applyFont="1" applyFill="1" applyBorder="1" applyAlignment="1">
      <alignment horizontal="center" vertical="center"/>
    </xf>
    <xf numFmtId="0" fontId="101" fillId="42" borderId="52" xfId="0" applyFont="1" applyFill="1" applyBorder="1" applyAlignment="1">
      <alignment horizontal="center" vertical="center"/>
    </xf>
    <xf numFmtId="0" fontId="101" fillId="42" borderId="65" xfId="0" applyFont="1" applyFill="1" applyBorder="1" applyAlignment="1">
      <alignment horizontal="center" vertical="center"/>
    </xf>
    <xf numFmtId="0" fontId="38" fillId="37" borderId="64" xfId="0" applyFont="1" applyFill="1" applyBorder="1" applyAlignment="1" quotePrefix="1">
      <alignment horizontal="center" vertical="center"/>
    </xf>
    <xf numFmtId="0" fontId="36" fillId="38" borderId="77" xfId="0" applyFont="1" applyFill="1" applyBorder="1" applyAlignment="1">
      <alignment horizontal="center" vertical="center"/>
    </xf>
    <xf numFmtId="0" fontId="35" fillId="38" borderId="73" xfId="0" applyFont="1" applyFill="1" applyBorder="1" applyAlignment="1">
      <alignment horizontal="center" vertical="center"/>
    </xf>
    <xf numFmtId="0" fontId="36" fillId="2" borderId="68" xfId="0" applyFont="1" applyFill="1" applyBorder="1" applyAlignment="1">
      <alignment horizontal="center" vertical="center"/>
    </xf>
    <xf numFmtId="0" fontId="36" fillId="2" borderId="79" xfId="0" applyFont="1" applyFill="1" applyBorder="1" applyAlignment="1">
      <alignment horizontal="center" vertical="center" wrapText="1"/>
    </xf>
    <xf numFmtId="0" fontId="36" fillId="2" borderId="80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 wrapText="1"/>
    </xf>
    <xf numFmtId="0" fontId="4" fillId="2" borderId="80" xfId="0" applyFont="1" applyFill="1" applyBorder="1" applyAlignment="1">
      <alignment horizontal="center" vertical="center" wrapText="1"/>
    </xf>
    <xf numFmtId="0" fontId="4" fillId="2" borderId="79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36" fillId="2" borderId="79" xfId="0" applyFont="1" applyFill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 wrapText="1"/>
    </xf>
    <xf numFmtId="0" fontId="36" fillId="2" borderId="68" xfId="0" applyFont="1" applyFill="1" applyBorder="1" applyAlignment="1">
      <alignment horizontal="center" vertical="center" wrapText="1"/>
    </xf>
    <xf numFmtId="0" fontId="0" fillId="2" borderId="83" xfId="0" applyFont="1" applyFill="1" applyBorder="1" applyAlignment="1" quotePrefix="1">
      <alignment horizontal="center" vertical="center" wrapText="1"/>
    </xf>
    <xf numFmtId="0" fontId="0" fillId="2" borderId="58" xfId="0" applyFont="1" applyFill="1" applyBorder="1" applyAlignment="1" quotePrefix="1">
      <alignment horizontal="center" vertical="center" wrapText="1"/>
    </xf>
    <xf numFmtId="0" fontId="0" fillId="2" borderId="76" xfId="0" applyFont="1" applyFill="1" applyBorder="1" applyAlignment="1" quotePrefix="1">
      <alignment horizontal="center" vertical="center" wrapText="1"/>
    </xf>
    <xf numFmtId="0" fontId="4" fillId="2" borderId="66" xfId="0" applyFont="1" applyFill="1" applyBorder="1" applyAlignment="1">
      <alignment horizontal="center" vertical="center"/>
    </xf>
    <xf numFmtId="193" fontId="4" fillId="2" borderId="72" xfId="0" applyNumberFormat="1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vertical="center"/>
    </xf>
    <xf numFmtId="0" fontId="36" fillId="2" borderId="66" xfId="0" applyFont="1" applyFill="1" applyBorder="1" applyAlignment="1">
      <alignment horizontal="center" vertical="center"/>
    </xf>
    <xf numFmtId="0" fontId="36" fillId="2" borderId="7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36" fillId="3" borderId="52" xfId="0" applyFont="1" applyFill="1" applyBorder="1" applyAlignment="1">
      <alignment vertical="center"/>
    </xf>
    <xf numFmtId="0" fontId="36" fillId="3" borderId="65" xfId="0" applyFont="1" applyFill="1" applyBorder="1" applyAlignment="1">
      <alignment vertical="center"/>
    </xf>
    <xf numFmtId="0" fontId="4" fillId="3" borderId="65" xfId="0" applyFont="1" applyFill="1" applyBorder="1" applyAlignment="1">
      <alignment horizontal="center" vertical="center"/>
    </xf>
    <xf numFmtId="0" fontId="4" fillId="10" borderId="64" xfId="0" applyFont="1" applyFill="1" applyBorder="1" applyAlignment="1">
      <alignment horizontal="center" vertical="center"/>
    </xf>
    <xf numFmtId="0" fontId="4" fillId="10" borderId="52" xfId="0" applyFont="1" applyFill="1" applyBorder="1" applyAlignment="1">
      <alignment horizontal="center" vertical="center"/>
    </xf>
    <xf numFmtId="0" fontId="4" fillId="10" borderId="65" xfId="0" applyFont="1" applyFill="1" applyBorder="1" applyAlignment="1">
      <alignment horizontal="center" vertical="center"/>
    </xf>
    <xf numFmtId="0" fontId="4" fillId="10" borderId="67" xfId="0" applyFont="1" applyFill="1" applyBorder="1" applyAlignment="1">
      <alignment horizontal="center" vertical="center"/>
    </xf>
    <xf numFmtId="0" fontId="101" fillId="42" borderId="67" xfId="0" applyFont="1" applyFill="1" applyBorder="1" applyAlignment="1">
      <alignment horizontal="center" vertical="center"/>
    </xf>
    <xf numFmtId="0" fontId="35" fillId="3" borderId="67" xfId="0" applyFont="1" applyFill="1" applyBorder="1" applyAlignment="1">
      <alignment vertical="center"/>
    </xf>
    <xf numFmtId="0" fontId="27" fillId="3" borderId="67" xfId="0" applyFont="1" applyFill="1" applyBorder="1" applyAlignment="1">
      <alignment vertical="center"/>
    </xf>
    <xf numFmtId="0" fontId="35" fillId="3" borderId="52" xfId="0" applyFont="1" applyFill="1" applyBorder="1" applyAlignment="1">
      <alignment horizontal="center" vertical="center"/>
    </xf>
    <xf numFmtId="0" fontId="37" fillId="3" borderId="52" xfId="0" applyFont="1" applyFill="1" applyBorder="1" applyAlignment="1">
      <alignment vertical="center"/>
    </xf>
    <xf numFmtId="0" fontId="37" fillId="3" borderId="65" xfId="0" applyFont="1" applyFill="1" applyBorder="1" applyAlignment="1">
      <alignment vertical="center"/>
    </xf>
    <xf numFmtId="0" fontId="37" fillId="3" borderId="52" xfId="0" applyFont="1" applyFill="1" applyBorder="1" applyAlignment="1">
      <alignment horizontal="center" vertical="center"/>
    </xf>
    <xf numFmtId="0" fontId="31" fillId="3" borderId="64" xfId="0" applyFont="1" applyFill="1" applyBorder="1" applyAlignment="1" quotePrefix="1">
      <alignment horizontal="center" vertical="center"/>
    </xf>
    <xf numFmtId="0" fontId="31" fillId="3" borderId="65" xfId="0" applyFont="1" applyFill="1" applyBorder="1" applyAlignment="1" quotePrefix="1">
      <alignment horizontal="center" vertical="center"/>
    </xf>
    <xf numFmtId="0" fontId="35" fillId="10" borderId="52" xfId="0" applyFont="1" applyFill="1" applyBorder="1" applyAlignment="1">
      <alignment horizontal="center" vertical="center"/>
    </xf>
    <xf numFmtId="0" fontId="39" fillId="10" borderId="64" xfId="0" applyFont="1" applyFill="1" applyBorder="1" applyAlignment="1" quotePrefix="1">
      <alignment horizontal="center" vertical="center"/>
    </xf>
    <xf numFmtId="0" fontId="39" fillId="10" borderId="65" xfId="0" applyFont="1" applyFill="1" applyBorder="1" applyAlignment="1" quotePrefix="1">
      <alignment horizontal="center" vertical="center"/>
    </xf>
    <xf numFmtId="0" fontId="35" fillId="10" borderId="67" xfId="0" applyFont="1" applyFill="1" applyBorder="1" applyAlignment="1">
      <alignment horizontal="center" vertical="center"/>
    </xf>
    <xf numFmtId="0" fontId="102" fillId="42" borderId="66" xfId="0" applyFont="1" applyFill="1" applyBorder="1" applyAlignment="1">
      <alignment horizontal="center" vertical="center"/>
    </xf>
    <xf numFmtId="0" fontId="102" fillId="42" borderId="72" xfId="0" applyFont="1" applyFill="1" applyBorder="1" applyAlignment="1">
      <alignment horizontal="center" vertical="center"/>
    </xf>
    <xf numFmtId="0" fontId="102" fillId="42" borderId="73" xfId="0" applyFont="1" applyFill="1" applyBorder="1" applyAlignment="1">
      <alignment horizontal="center" vertical="center"/>
    </xf>
    <xf numFmtId="0" fontId="35" fillId="10" borderId="66" xfId="0" applyFont="1" applyFill="1" applyBorder="1" applyAlignment="1">
      <alignment horizontal="center" vertical="center"/>
    </xf>
    <xf numFmtId="0" fontId="35" fillId="10" borderId="72" xfId="0" applyFont="1" applyFill="1" applyBorder="1" applyAlignment="1">
      <alignment horizontal="center" vertical="center"/>
    </xf>
    <xf numFmtId="0" fontId="35" fillId="10" borderId="72" xfId="0" applyFont="1" applyFill="1" applyBorder="1" applyAlignment="1">
      <alignment vertical="center"/>
    </xf>
    <xf numFmtId="0" fontId="35" fillId="10" borderId="73" xfId="0" applyFont="1" applyFill="1" applyBorder="1" applyAlignment="1">
      <alignment horizontal="center" vertical="center"/>
    </xf>
    <xf numFmtId="0" fontId="4" fillId="2" borderId="84" xfId="0" applyFont="1" applyFill="1" applyBorder="1" applyAlignment="1">
      <alignment vertical="center"/>
    </xf>
    <xf numFmtId="0" fontId="36" fillId="38" borderId="67" xfId="0" applyFont="1" applyFill="1" applyBorder="1" applyAlignment="1">
      <alignment vertical="center" wrapText="1"/>
    </xf>
    <xf numFmtId="0" fontId="36" fillId="38" borderId="85" xfId="0" applyFont="1" applyFill="1" applyBorder="1" applyAlignment="1">
      <alignment vertical="center" wrapText="1"/>
    </xf>
    <xf numFmtId="0" fontId="35" fillId="10" borderId="86" xfId="0" applyFont="1" applyFill="1" applyBorder="1" applyAlignment="1">
      <alignment horizontal="center" vertical="center" wrapText="1"/>
    </xf>
    <xf numFmtId="0" fontId="35" fillId="10" borderId="86" xfId="0" applyFont="1" applyFill="1" applyBorder="1" applyAlignment="1">
      <alignment horizontal="center" vertical="center"/>
    </xf>
    <xf numFmtId="0" fontId="35" fillId="10" borderId="86" xfId="0" applyFont="1" applyFill="1" applyBorder="1" applyAlignment="1">
      <alignment vertical="center"/>
    </xf>
    <xf numFmtId="0" fontId="36" fillId="38" borderId="57" xfId="0" applyFont="1" applyFill="1" applyBorder="1" applyAlignment="1">
      <alignment vertical="center"/>
    </xf>
    <xf numFmtId="0" fontId="36" fillId="38" borderId="87" xfId="0" applyFont="1" applyFill="1" applyBorder="1" applyAlignment="1">
      <alignment vertical="center"/>
    </xf>
    <xf numFmtId="0" fontId="36" fillId="38" borderId="88" xfId="0" applyFont="1" applyFill="1" applyBorder="1" applyAlignment="1">
      <alignment vertical="center"/>
    </xf>
    <xf numFmtId="0" fontId="4" fillId="43" borderId="68" xfId="0" applyFont="1" applyFill="1" applyBorder="1" applyAlignment="1">
      <alignment horizontal="center" vertical="center"/>
    </xf>
    <xf numFmtId="0" fontId="4" fillId="43" borderId="79" xfId="0" applyFont="1" applyFill="1" applyBorder="1" applyAlignment="1">
      <alignment horizontal="center" vertical="center" wrapText="1"/>
    </xf>
    <xf numFmtId="0" fontId="4" fillId="43" borderId="80" xfId="0" applyFont="1" applyFill="1" applyBorder="1" applyAlignment="1">
      <alignment horizontal="center" vertical="center" wrapText="1"/>
    </xf>
    <xf numFmtId="0" fontId="36" fillId="38" borderId="89" xfId="0" applyFont="1" applyFill="1" applyBorder="1" applyAlignment="1">
      <alignment horizontal="center" vertical="center"/>
    </xf>
    <xf numFmtId="0" fontId="97" fillId="0" borderId="0" xfId="0" applyFont="1" applyAlignment="1">
      <alignment vertical="center"/>
    </xf>
    <xf numFmtId="0" fontId="103" fillId="41" borderId="0" xfId="0" applyFont="1" applyFill="1" applyAlignment="1">
      <alignment vertical="center"/>
    </xf>
    <xf numFmtId="0" fontId="29" fillId="22" borderId="0" xfId="0" applyFont="1" applyFill="1" applyAlignment="1">
      <alignment vertical="center"/>
    </xf>
    <xf numFmtId="0" fontId="40" fillId="22" borderId="53" xfId="0" applyFont="1" applyFill="1" applyBorder="1" applyAlignment="1">
      <alignment horizontal="left" vertical="center"/>
    </xf>
    <xf numFmtId="0" fontId="27" fillId="22" borderId="0" xfId="0" applyFont="1" applyFill="1" applyAlignment="1">
      <alignment horizontal="left" vertical="center"/>
    </xf>
    <xf numFmtId="0" fontId="30" fillId="22" borderId="0" xfId="0" applyFont="1" applyFill="1" applyAlignment="1">
      <alignment vertical="center" wrapText="1"/>
    </xf>
    <xf numFmtId="0" fontId="4" fillId="2" borderId="79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 wrapText="1"/>
    </xf>
    <xf numFmtId="0" fontId="36" fillId="38" borderId="83" xfId="0" applyFont="1" applyFill="1" applyBorder="1" applyAlignment="1">
      <alignment vertical="center" wrapText="1"/>
    </xf>
    <xf numFmtId="0" fontId="36" fillId="35" borderId="67" xfId="0" applyFont="1" applyFill="1" applyBorder="1" applyAlignment="1">
      <alignment vertical="center"/>
    </xf>
    <xf numFmtId="0" fontId="36" fillId="35" borderId="52" xfId="0" applyFont="1" applyFill="1" applyBorder="1" applyAlignment="1">
      <alignment horizontal="center" vertical="center"/>
    </xf>
    <xf numFmtId="0" fontId="36" fillId="35" borderId="65" xfId="0" applyFont="1" applyFill="1" applyBorder="1" applyAlignment="1">
      <alignment horizontal="center" vertical="center"/>
    </xf>
    <xf numFmtId="0" fontId="36" fillId="35" borderId="67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98" fillId="2" borderId="52" xfId="0" applyFont="1" applyFill="1" applyBorder="1" applyAlignment="1" quotePrefix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104" fillId="0" borderId="0" xfId="0" applyFont="1" applyAlignment="1">
      <alignment vertical="center"/>
    </xf>
    <xf numFmtId="0" fontId="6" fillId="38" borderId="47" xfId="0" applyFont="1" applyFill="1" applyBorder="1" applyAlignment="1">
      <alignment horizontal="center" vertical="center" wrapText="1"/>
    </xf>
    <xf numFmtId="0" fontId="104" fillId="36" borderId="0" xfId="0" applyFont="1" applyFill="1" applyAlignment="1">
      <alignment horizontal="center" vertical="center"/>
    </xf>
    <xf numFmtId="0" fontId="101" fillId="42" borderId="67" xfId="0" applyFont="1" applyFill="1" applyBorder="1" applyAlignment="1">
      <alignment vertical="center"/>
    </xf>
    <xf numFmtId="0" fontId="100" fillId="42" borderId="52" xfId="0" applyFont="1" applyFill="1" applyBorder="1" applyAlignment="1">
      <alignment horizontal="center" vertical="center"/>
    </xf>
    <xf numFmtId="0" fontId="100" fillId="42" borderId="65" xfId="0" applyFont="1" applyFill="1" applyBorder="1" applyAlignment="1">
      <alignment horizontal="center" vertical="center"/>
    </xf>
    <xf numFmtId="0" fontId="100" fillId="42" borderId="52" xfId="0" applyFont="1" applyFill="1" applyBorder="1" applyAlignment="1">
      <alignment vertical="center"/>
    </xf>
    <xf numFmtId="0" fontId="100" fillId="42" borderId="65" xfId="0" applyFont="1" applyFill="1" applyBorder="1" applyAlignment="1">
      <alignment vertical="center"/>
    </xf>
    <xf numFmtId="0" fontId="100" fillId="0" borderId="0" xfId="0" applyFont="1" applyAlignment="1">
      <alignment horizontal="center" vertical="center"/>
    </xf>
    <xf numFmtId="0" fontId="36" fillId="42" borderId="0" xfId="0" applyFont="1" applyFill="1" applyBorder="1" applyAlignment="1">
      <alignment vertical="center"/>
    </xf>
    <xf numFmtId="0" fontId="105" fillId="42" borderId="0" xfId="0" applyFont="1" applyFill="1" applyBorder="1" applyAlignment="1">
      <alignment vertical="center"/>
    </xf>
    <xf numFmtId="0" fontId="27" fillId="42" borderId="0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98" fillId="2" borderId="79" xfId="0" applyFont="1" applyFill="1" applyBorder="1" applyAlignment="1">
      <alignment horizontal="center" vertical="center" wrapText="1"/>
    </xf>
    <xf numFmtId="1" fontId="12" fillId="36" borderId="16" xfId="0" applyNumberFormat="1" applyFont="1" applyFill="1" applyBorder="1" applyAlignment="1" quotePrefix="1">
      <alignment horizontal="center" vertical="center"/>
    </xf>
    <xf numFmtId="0" fontId="105" fillId="44" borderId="66" xfId="0" applyFont="1" applyFill="1" applyBorder="1" applyAlignment="1">
      <alignment horizontal="center" vertical="center"/>
    </xf>
    <xf numFmtId="0" fontId="105" fillId="44" borderId="72" xfId="0" applyFont="1" applyFill="1" applyBorder="1" applyAlignment="1">
      <alignment horizontal="center" vertical="center"/>
    </xf>
    <xf numFmtId="0" fontId="105" fillId="44" borderId="73" xfId="0" applyFont="1" applyFill="1" applyBorder="1" applyAlignment="1">
      <alignment horizontal="center" vertical="center"/>
    </xf>
    <xf numFmtId="0" fontId="105" fillId="44" borderId="67" xfId="0" applyFont="1" applyFill="1" applyBorder="1" applyAlignment="1">
      <alignment horizontal="center" vertical="center" wrapText="1"/>
    </xf>
    <xf numFmtId="0" fontId="105" fillId="44" borderId="52" xfId="0" applyFont="1" applyFill="1" applyBorder="1" applyAlignment="1">
      <alignment horizontal="center" vertical="center"/>
    </xf>
    <xf numFmtId="0" fontId="105" fillId="44" borderId="65" xfId="0" applyFont="1" applyFill="1" applyBorder="1" applyAlignment="1">
      <alignment horizontal="center" vertical="center"/>
    </xf>
    <xf numFmtId="0" fontId="0" fillId="0" borderId="67" xfId="0" applyFont="1" applyBorder="1" applyAlignment="1">
      <alignment/>
    </xf>
    <xf numFmtId="0" fontId="0" fillId="0" borderId="52" xfId="0" applyBorder="1" applyAlignment="1">
      <alignment horizontal="center"/>
    </xf>
    <xf numFmtId="0" fontId="0" fillId="0" borderId="85" xfId="0" applyFont="1" applyBorder="1" applyAlignment="1">
      <alignment/>
    </xf>
    <xf numFmtId="0" fontId="0" fillId="0" borderId="77" xfId="0" applyBorder="1" applyAlignment="1">
      <alignment horizontal="center"/>
    </xf>
    <xf numFmtId="0" fontId="36" fillId="0" borderId="0" xfId="0" applyFont="1" applyAlignment="1">
      <alignment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36" fillId="0" borderId="57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 wrapText="1"/>
    </xf>
    <xf numFmtId="0" fontId="36" fillId="0" borderId="57" xfId="0" applyFont="1" applyBorder="1" applyAlignment="1">
      <alignment vertical="center"/>
    </xf>
    <xf numFmtId="0" fontId="97" fillId="41" borderId="0" xfId="0" applyFont="1" applyFill="1" applyAlignment="1">
      <alignment vertical="center"/>
    </xf>
    <xf numFmtId="0" fontId="4" fillId="41" borderId="0" xfId="0" applyFont="1" applyFill="1" applyAlignment="1">
      <alignment vertical="center"/>
    </xf>
    <xf numFmtId="2" fontId="7" fillId="0" borderId="18" xfId="0" applyNumberFormat="1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194" fontId="36" fillId="0" borderId="93" xfId="0" applyNumberFormat="1" applyFont="1" applyBorder="1" applyAlignment="1">
      <alignment vertical="center" wrapText="1"/>
    </xf>
    <xf numFmtId="0" fontId="36" fillId="0" borderId="93" xfId="0" applyFont="1" applyBorder="1" applyAlignment="1">
      <alignment vertical="center" wrapText="1"/>
    </xf>
    <xf numFmtId="0" fontId="36" fillId="0" borderId="93" xfId="0" applyFont="1" applyBorder="1" applyAlignment="1">
      <alignment vertical="center"/>
    </xf>
    <xf numFmtId="0" fontId="36" fillId="36" borderId="52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5" fillId="0" borderId="94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89" xfId="0" applyFont="1" applyBorder="1" applyAlignment="1">
      <alignment horizontal="left"/>
    </xf>
    <xf numFmtId="49" fontId="5" fillId="0" borderId="89" xfId="0" applyNumberFormat="1" applyFont="1" applyBorder="1" applyAlignment="1" quotePrefix="1">
      <alignment horizontal="left"/>
    </xf>
    <xf numFmtId="49" fontId="5" fillId="0" borderId="60" xfId="0" applyNumberFormat="1" applyFont="1" applyBorder="1" applyAlignment="1">
      <alignment horizontal="left"/>
    </xf>
    <xf numFmtId="0" fontId="5" fillId="0" borderId="95" xfId="0" applyFont="1" applyBorder="1" applyAlignment="1">
      <alignment horizontal="left"/>
    </xf>
    <xf numFmtId="0" fontId="5" fillId="0" borderId="96" xfId="0" applyFont="1" applyBorder="1" applyAlignment="1">
      <alignment horizontal="left"/>
    </xf>
    <xf numFmtId="0" fontId="0" fillId="0" borderId="97" xfId="0" applyFont="1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0" fillId="0" borderId="101" xfId="0" applyFont="1" applyBorder="1" applyAlignment="1">
      <alignment horizontal="left" vertical="center"/>
    </xf>
    <xf numFmtId="0" fontId="0" fillId="0" borderId="101" xfId="0" applyFont="1" applyBorder="1" applyAlignment="1" quotePrefix="1">
      <alignment horizontal="left" vertic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 wrapText="1"/>
    </xf>
    <xf numFmtId="190" fontId="12" fillId="0" borderId="16" xfId="0" applyNumberFormat="1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169" fontId="12" fillId="0" borderId="16" xfId="0" applyNumberFormat="1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 wrapText="1"/>
    </xf>
    <xf numFmtId="190" fontId="12" fillId="0" borderId="21" xfId="0" applyNumberFormat="1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169" fontId="12" fillId="0" borderId="59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169" fontId="12" fillId="0" borderId="21" xfId="0" applyNumberFormat="1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67" xfId="0" applyFont="1" applyBorder="1" applyAlignment="1">
      <alignment vertical="center"/>
    </xf>
    <xf numFmtId="0" fontId="17" fillId="0" borderId="57" xfId="0" applyFont="1" applyBorder="1" applyAlignment="1">
      <alignment vertical="top" wrapText="1"/>
    </xf>
    <xf numFmtId="0" fontId="106" fillId="45" borderId="57" xfId="0" applyFont="1" applyFill="1" applyBorder="1" applyAlignment="1">
      <alignment horizontal="center" vertical="center" wrapText="1"/>
    </xf>
    <xf numFmtId="0" fontId="106" fillId="46" borderId="57" xfId="0" applyFont="1" applyFill="1" applyBorder="1" applyAlignment="1">
      <alignment horizontal="center" vertical="center" wrapText="1"/>
    </xf>
    <xf numFmtId="0" fontId="107" fillId="0" borderId="57" xfId="0" applyFont="1" applyBorder="1" applyAlignment="1">
      <alignment vertical="top" wrapText="1"/>
    </xf>
    <xf numFmtId="0" fontId="107" fillId="45" borderId="57" xfId="0" applyFont="1" applyFill="1" applyBorder="1" applyAlignment="1">
      <alignment horizontal="center" vertical="top" wrapText="1"/>
    </xf>
    <xf numFmtId="0" fontId="17" fillId="0" borderId="57" xfId="0" applyFont="1" applyBorder="1" applyAlignment="1">
      <alignment vertical="center" wrapText="1"/>
    </xf>
    <xf numFmtId="0" fontId="106" fillId="0" borderId="57" xfId="0" applyFont="1" applyBorder="1" applyAlignment="1">
      <alignment vertical="center" wrapText="1"/>
    </xf>
    <xf numFmtId="0" fontId="0" fillId="0" borderId="57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26" fillId="0" borderId="57" xfId="0" applyFont="1" applyBorder="1" applyAlignment="1">
      <alignment horizontal="center"/>
    </xf>
    <xf numFmtId="0" fontId="108" fillId="47" borderId="64" xfId="0" applyFont="1" applyFill="1" applyBorder="1" applyAlignment="1">
      <alignment horizontal="center"/>
    </xf>
    <xf numFmtId="0" fontId="108" fillId="47" borderId="102" xfId="0" applyFont="1" applyFill="1" applyBorder="1" applyAlignment="1">
      <alignment horizontal="center"/>
    </xf>
    <xf numFmtId="0" fontId="108" fillId="47" borderId="70" xfId="0" applyFont="1" applyFill="1" applyBorder="1" applyAlignment="1">
      <alignment horizontal="center"/>
    </xf>
    <xf numFmtId="0" fontId="109" fillId="41" borderId="64" xfId="0" applyFont="1" applyFill="1" applyBorder="1" applyAlignment="1">
      <alignment horizontal="center"/>
    </xf>
    <xf numFmtId="0" fontId="109" fillId="41" borderId="102" xfId="0" applyFont="1" applyFill="1" applyBorder="1" applyAlignment="1">
      <alignment horizontal="center"/>
    </xf>
    <xf numFmtId="0" fontId="110" fillId="47" borderId="103" xfId="0" applyFont="1" applyFill="1" applyBorder="1" applyAlignment="1">
      <alignment horizontal="center"/>
    </xf>
    <xf numFmtId="0" fontId="110" fillId="47" borderId="104" xfId="0" applyFont="1" applyFill="1" applyBorder="1" applyAlignment="1">
      <alignment horizontal="center"/>
    </xf>
    <xf numFmtId="0" fontId="110" fillId="47" borderId="105" xfId="0" applyFont="1" applyFill="1" applyBorder="1" applyAlignment="1">
      <alignment horizontal="center"/>
    </xf>
    <xf numFmtId="0" fontId="26" fillId="0" borderId="106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6" fillId="0" borderId="93" xfId="0" applyFont="1" applyBorder="1" applyAlignment="1">
      <alignment horizont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4" fillId="2" borderId="90" xfId="0" applyFont="1" applyFill="1" applyBorder="1" applyAlignment="1">
      <alignment horizontal="center" vertical="center"/>
    </xf>
    <xf numFmtId="0" fontId="4" fillId="2" borderId="88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81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83" xfId="0" applyFont="1" applyFill="1" applyBorder="1" applyAlignment="1">
      <alignment horizontal="center" vertical="center"/>
    </xf>
    <xf numFmtId="0" fontId="101" fillId="47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94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07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10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9" xfId="0" applyFont="1" applyBorder="1" applyAlignment="1">
      <alignment horizontal="left"/>
    </xf>
    <xf numFmtId="0" fontId="5" fillId="0" borderId="9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9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0" xfId="0" applyFont="1" applyBorder="1" applyAlignment="1">
      <alignment horizontal="left"/>
    </xf>
    <xf numFmtId="0" fontId="5" fillId="0" borderId="89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89" xfId="0" applyFont="1" applyBorder="1" applyAlignment="1">
      <alignment horizontal="left"/>
    </xf>
    <xf numFmtId="0" fontId="5" fillId="0" borderId="53" xfId="0" applyFont="1" applyBorder="1" applyAlignment="1" quotePrefix="1">
      <alignment horizontal="left" vertical="center" wrapText="1"/>
    </xf>
    <xf numFmtId="0" fontId="5" fillId="0" borderId="54" xfId="0" applyFont="1" applyBorder="1" applyAlignment="1" quotePrefix="1">
      <alignment horizontal="left" vertic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33" fillId="0" borderId="53" xfId="0" applyFont="1" applyBorder="1" applyAlignment="1">
      <alignment horizontal="left" vertical="center" wrapText="1"/>
    </xf>
    <xf numFmtId="0" fontId="33" fillId="0" borderId="5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32" fillId="0" borderId="53" xfId="0" applyFont="1" applyBorder="1" applyAlignment="1">
      <alignment horizontal="left" vertical="center" wrapText="1"/>
    </xf>
    <xf numFmtId="0" fontId="32" fillId="0" borderId="5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32" fillId="0" borderId="53" xfId="0" applyFont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11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112" xfId="0" applyFont="1" applyBorder="1" applyAlignment="1">
      <alignment wrapText="1"/>
    </xf>
    <xf numFmtId="0" fontId="15" fillId="0" borderId="41" xfId="0" applyFont="1" applyBorder="1" applyAlignment="1">
      <alignment wrapText="1"/>
    </xf>
    <xf numFmtId="0" fontId="15" fillId="0" borderId="45" xfId="0" applyFont="1" applyBorder="1" applyAlignment="1">
      <alignment wrapText="1"/>
    </xf>
    <xf numFmtId="0" fontId="15" fillId="0" borderId="63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45" xfId="0" applyFont="1" applyBorder="1" applyAlignment="1">
      <alignment vertical="top" wrapText="1"/>
    </xf>
    <xf numFmtId="0" fontId="15" fillId="0" borderId="113" xfId="0" applyFont="1" applyBorder="1" applyAlignment="1">
      <alignment horizontal="center" vertical="top" wrapText="1"/>
    </xf>
    <xf numFmtId="0" fontId="15" fillId="0" borderId="114" xfId="0" applyFont="1" applyBorder="1" applyAlignment="1">
      <alignment horizontal="center" vertical="top" wrapText="1"/>
    </xf>
    <xf numFmtId="0" fontId="15" fillId="0" borderId="115" xfId="0" applyFont="1" applyBorder="1" applyAlignment="1">
      <alignment horizontal="center" vertical="top" wrapText="1"/>
    </xf>
    <xf numFmtId="0" fontId="15" fillId="0" borderId="111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15" fillId="0" borderId="113" xfId="0" applyFont="1" applyBorder="1" applyAlignment="1">
      <alignment horizontal="justify" vertical="center" wrapText="1"/>
    </xf>
    <xf numFmtId="0" fontId="15" fillId="0" borderId="114" xfId="0" applyFont="1" applyBorder="1" applyAlignment="1">
      <alignment horizontal="justify" vertical="center" wrapText="1"/>
    </xf>
    <xf numFmtId="0" fontId="15" fillId="0" borderId="115" xfId="0" applyFont="1" applyBorder="1" applyAlignment="1">
      <alignment horizontal="justify" vertical="center" wrapText="1"/>
    </xf>
    <xf numFmtId="0" fontId="15" fillId="0" borderId="11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178" fontId="17" fillId="0" borderId="116" xfId="0" applyNumberFormat="1" applyFont="1" applyBorder="1" applyAlignment="1">
      <alignment horizontal="center" vertical="center"/>
    </xf>
    <xf numFmtId="178" fontId="17" fillId="0" borderId="117" xfId="0" applyNumberFormat="1" applyFont="1" applyBorder="1" applyAlignment="1">
      <alignment horizontal="center" vertical="center"/>
    </xf>
    <xf numFmtId="0" fontId="15" fillId="0" borderId="63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45" xfId="0" applyFont="1" applyBorder="1" applyAlignment="1">
      <alignment horizontal="center" wrapText="1"/>
    </xf>
    <xf numFmtId="0" fontId="17" fillId="34" borderId="116" xfId="0" applyFont="1" applyFill="1" applyBorder="1" applyAlignment="1">
      <alignment horizontal="center" vertical="center" wrapText="1"/>
    </xf>
    <xf numFmtId="0" fontId="17" fillId="34" borderId="117" xfId="0" applyFont="1" applyFill="1" applyBorder="1" applyAlignment="1">
      <alignment horizontal="center" vertical="center" wrapText="1"/>
    </xf>
    <xf numFmtId="0" fontId="15" fillId="0" borderId="118" xfId="0" applyFont="1" applyBorder="1" applyAlignment="1">
      <alignment vertical="top" wrapText="1"/>
    </xf>
    <xf numFmtId="0" fontId="15" fillId="0" borderId="38" xfId="0" applyFont="1" applyBorder="1" applyAlignment="1">
      <alignment vertical="top" wrapText="1"/>
    </xf>
    <xf numFmtId="0" fontId="15" fillId="0" borderId="39" xfId="0" applyFont="1" applyBorder="1" applyAlignment="1">
      <alignment vertical="top" wrapText="1"/>
    </xf>
    <xf numFmtId="0" fontId="15" fillId="0" borderId="111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11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left" wrapText="1"/>
    </xf>
    <xf numFmtId="0" fontId="13" fillId="0" borderId="42" xfId="0" applyFont="1" applyBorder="1" applyAlignment="1">
      <alignment horizontal="left" wrapText="1"/>
    </xf>
    <xf numFmtId="0" fontId="13" fillId="0" borderId="43" xfId="0" applyFont="1" applyBorder="1" applyAlignment="1">
      <alignment horizontal="left" wrapText="1"/>
    </xf>
    <xf numFmtId="0" fontId="13" fillId="0" borderId="3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4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3" fillId="0" borderId="112" xfId="0" applyFont="1" applyBorder="1" applyAlignment="1">
      <alignment horizontal="center" vertical="top" wrapText="1"/>
    </xf>
    <xf numFmtId="0" fontId="13" fillId="0" borderId="63" xfId="0" applyFont="1" applyBorder="1" applyAlignment="1">
      <alignment horizontal="center" vertical="top" wrapText="1"/>
    </xf>
    <xf numFmtId="0" fontId="13" fillId="0" borderId="118" xfId="0" applyFont="1" applyBorder="1" applyAlignment="1">
      <alignment horizontal="center" vertical="top" wrapText="1"/>
    </xf>
    <xf numFmtId="0" fontId="13" fillId="0" borderId="119" xfId="0" applyFont="1" applyBorder="1" applyAlignment="1">
      <alignment horizontal="left" vertical="center"/>
    </xf>
    <xf numFmtId="0" fontId="13" fillId="0" borderId="120" xfId="0" applyFont="1" applyBorder="1" applyAlignment="1">
      <alignment horizontal="left" vertical="center"/>
    </xf>
    <xf numFmtId="0" fontId="13" fillId="0" borderId="121" xfId="0" applyFont="1" applyBorder="1" applyAlignment="1">
      <alignment horizontal="left" vertical="center"/>
    </xf>
    <xf numFmtId="0" fontId="14" fillId="0" borderId="101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4" fillId="0" borderId="10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top"/>
    </xf>
    <xf numFmtId="0" fontId="15" fillId="0" borderId="30" xfId="0" applyFont="1" applyBorder="1" applyAlignment="1">
      <alignment horizontal="center" vertical="top"/>
    </xf>
    <xf numFmtId="0" fontId="14" fillId="0" borderId="97" xfId="0" applyFont="1" applyBorder="1" applyAlignment="1">
      <alignment horizontal="left" vertical="center" wrapText="1"/>
    </xf>
    <xf numFmtId="0" fontId="14" fillId="0" borderId="98" xfId="0" applyFont="1" applyBorder="1" applyAlignment="1">
      <alignment horizontal="left" vertical="center" wrapText="1"/>
    </xf>
    <xf numFmtId="0" fontId="14" fillId="0" borderId="99" xfId="0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0" fillId="0" borderId="101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27</xdr:row>
      <xdr:rowOff>38100</xdr:rowOff>
    </xdr:from>
    <xdr:to>
      <xdr:col>15</xdr:col>
      <xdr:colOff>552450</xdr:colOff>
      <xdr:row>31</xdr:row>
      <xdr:rowOff>133350</xdr:rowOff>
    </xdr:to>
    <xdr:pic>
      <xdr:nvPicPr>
        <xdr:cNvPr id="1" name="Picture 1" descr="G:\logo\Government\lambang_garudaP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9744075"/>
          <a:ext cx="1019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438150</xdr:colOff>
      <xdr:row>27</xdr:row>
      <xdr:rowOff>38100</xdr:rowOff>
    </xdr:from>
    <xdr:to>
      <xdr:col>15</xdr:col>
      <xdr:colOff>581025</xdr:colOff>
      <xdr:row>32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9744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0"/>
  <sheetViews>
    <sheetView zoomScale="130" zoomScaleNormal="130" zoomScalePageLayoutView="0" workbookViewId="0" topLeftCell="A1">
      <selection activeCell="AN5" sqref="AN5"/>
    </sheetView>
  </sheetViews>
  <sheetFormatPr defaultColWidth="9.140625" defaultRowHeight="12.75"/>
  <cols>
    <col min="1" max="62" width="2.7109375" style="0" customWidth="1"/>
  </cols>
  <sheetData>
    <row r="1" spans="1:62" ht="16.5">
      <c r="A1" s="473" t="s">
        <v>183</v>
      </c>
      <c r="B1" s="474"/>
      <c r="C1" s="474"/>
      <c r="D1" s="474"/>
      <c r="E1" s="474"/>
      <c r="F1" s="475" t="s">
        <v>172</v>
      </c>
      <c r="G1" s="475"/>
      <c r="H1" s="475"/>
      <c r="I1" s="475"/>
      <c r="J1" s="475"/>
      <c r="K1" s="475" t="s">
        <v>173</v>
      </c>
      <c r="L1" s="475"/>
      <c r="M1" s="475"/>
      <c r="N1" s="475"/>
      <c r="O1" s="484" t="s">
        <v>174</v>
      </c>
      <c r="P1" s="485"/>
      <c r="Q1" s="485"/>
      <c r="R1" s="486"/>
      <c r="S1" s="475" t="s">
        <v>175</v>
      </c>
      <c r="T1" s="475"/>
      <c r="U1" s="475"/>
      <c r="V1" s="475"/>
      <c r="W1" s="475" t="s">
        <v>176</v>
      </c>
      <c r="X1" s="475"/>
      <c r="Y1" s="475"/>
      <c r="Z1" s="475"/>
      <c r="AA1" s="475" t="s">
        <v>177</v>
      </c>
      <c r="AB1" s="475"/>
      <c r="AC1" s="475"/>
      <c r="AD1" s="475"/>
      <c r="AE1" s="475" t="s">
        <v>178</v>
      </c>
      <c r="AF1" s="475"/>
      <c r="AG1" s="475"/>
      <c r="AH1" s="475"/>
      <c r="AI1" s="475"/>
      <c r="AJ1" s="475" t="s">
        <v>179</v>
      </c>
      <c r="AK1" s="475"/>
      <c r="AL1" s="475"/>
      <c r="AM1" s="475"/>
      <c r="AN1" s="473" t="s">
        <v>180</v>
      </c>
      <c r="AO1" s="473"/>
      <c r="AP1" s="473"/>
      <c r="AQ1" s="473"/>
      <c r="AR1" s="473" t="s">
        <v>181</v>
      </c>
      <c r="AS1" s="473"/>
      <c r="AT1" s="473"/>
      <c r="AU1" s="473"/>
      <c r="AV1" s="473"/>
      <c r="AW1" s="473" t="s">
        <v>182</v>
      </c>
      <c r="AX1" s="473"/>
      <c r="AY1" s="473"/>
      <c r="AZ1" s="473"/>
      <c r="BA1" s="473" t="s">
        <v>183</v>
      </c>
      <c r="BB1" s="474"/>
      <c r="BC1" s="474"/>
      <c r="BD1" s="474"/>
      <c r="BE1" s="474"/>
      <c r="BF1" s="475" t="s">
        <v>172</v>
      </c>
      <c r="BG1" s="475"/>
      <c r="BH1" s="475"/>
      <c r="BI1" s="475"/>
      <c r="BJ1" s="475"/>
    </row>
    <row r="2" spans="1:62" ht="16.5">
      <c r="A2" s="110" t="s">
        <v>167</v>
      </c>
      <c r="B2" s="110" t="s">
        <v>168</v>
      </c>
      <c r="C2" s="110" t="s">
        <v>169</v>
      </c>
      <c r="D2" s="110" t="s">
        <v>170</v>
      </c>
      <c r="E2" s="105" t="s">
        <v>171</v>
      </c>
      <c r="F2" s="105" t="s">
        <v>167</v>
      </c>
      <c r="G2" s="105" t="s">
        <v>168</v>
      </c>
      <c r="H2" s="105" t="s">
        <v>169</v>
      </c>
      <c r="I2" s="105" t="s">
        <v>170</v>
      </c>
      <c r="J2" s="105" t="s">
        <v>171</v>
      </c>
      <c r="K2" s="105" t="s">
        <v>167</v>
      </c>
      <c r="L2" s="105" t="s">
        <v>168</v>
      </c>
      <c r="M2" s="105" t="s">
        <v>169</v>
      </c>
      <c r="N2" s="105" t="s">
        <v>170</v>
      </c>
      <c r="O2" s="105" t="s">
        <v>167</v>
      </c>
      <c r="P2" s="105" t="s">
        <v>168</v>
      </c>
      <c r="Q2" s="105" t="s">
        <v>169</v>
      </c>
      <c r="R2" s="105" t="s">
        <v>170</v>
      </c>
      <c r="S2" s="105" t="s">
        <v>167</v>
      </c>
      <c r="T2" s="105" t="s">
        <v>168</v>
      </c>
      <c r="U2" s="105" t="s">
        <v>169</v>
      </c>
      <c r="V2" s="105" t="s">
        <v>170</v>
      </c>
      <c r="W2" s="105" t="s">
        <v>167</v>
      </c>
      <c r="X2" s="105" t="s">
        <v>168</v>
      </c>
      <c r="Y2" s="105" t="s">
        <v>169</v>
      </c>
      <c r="Z2" s="105" t="s">
        <v>170</v>
      </c>
      <c r="AA2" s="105" t="s">
        <v>167</v>
      </c>
      <c r="AB2" s="105" t="s">
        <v>168</v>
      </c>
      <c r="AC2" s="105" t="s">
        <v>169</v>
      </c>
      <c r="AD2" s="105" t="s">
        <v>170</v>
      </c>
      <c r="AE2" s="105" t="s">
        <v>167</v>
      </c>
      <c r="AF2" s="105" t="s">
        <v>168</v>
      </c>
      <c r="AG2" s="105" t="s">
        <v>169</v>
      </c>
      <c r="AH2" s="105" t="s">
        <v>170</v>
      </c>
      <c r="AI2" s="105" t="s">
        <v>171</v>
      </c>
      <c r="AJ2" s="105" t="s">
        <v>167</v>
      </c>
      <c r="AK2" s="110" t="s">
        <v>168</v>
      </c>
      <c r="AL2" s="110" t="s">
        <v>169</v>
      </c>
      <c r="AM2" s="110" t="s">
        <v>170</v>
      </c>
      <c r="AN2" s="110" t="s">
        <v>167</v>
      </c>
      <c r="AO2" s="110" t="s">
        <v>168</v>
      </c>
      <c r="AP2" s="110" t="s">
        <v>169</v>
      </c>
      <c r="AQ2" s="110" t="s">
        <v>170</v>
      </c>
      <c r="AR2" s="110" t="s">
        <v>167</v>
      </c>
      <c r="AS2" s="110" t="s">
        <v>168</v>
      </c>
      <c r="AT2" s="110" t="s">
        <v>169</v>
      </c>
      <c r="AU2" s="110" t="s">
        <v>170</v>
      </c>
      <c r="AV2" s="110" t="s">
        <v>171</v>
      </c>
      <c r="AW2" s="110" t="s">
        <v>167</v>
      </c>
      <c r="AX2" s="110" t="s">
        <v>168</v>
      </c>
      <c r="AY2" s="110" t="s">
        <v>169</v>
      </c>
      <c r="AZ2" s="110" t="s">
        <v>170</v>
      </c>
      <c r="BA2" s="110" t="s">
        <v>167</v>
      </c>
      <c r="BB2" s="110" t="s">
        <v>168</v>
      </c>
      <c r="BC2" s="110" t="s">
        <v>169</v>
      </c>
      <c r="BD2" s="110" t="s">
        <v>170</v>
      </c>
      <c r="BE2" s="105" t="s">
        <v>171</v>
      </c>
      <c r="BF2" s="105" t="s">
        <v>167</v>
      </c>
      <c r="BG2" s="105" t="s">
        <v>168</v>
      </c>
      <c r="BH2" s="105" t="s">
        <v>169</v>
      </c>
      <c r="BI2" s="105" t="s">
        <v>170</v>
      </c>
      <c r="BJ2" s="105" t="s">
        <v>171</v>
      </c>
    </row>
    <row r="3" spans="1:62" ht="16.5">
      <c r="A3" s="108"/>
      <c r="B3" s="108"/>
      <c r="C3" s="108"/>
      <c r="D3" s="108"/>
      <c r="E3" s="109"/>
      <c r="F3" s="106"/>
      <c r="G3" s="106"/>
      <c r="H3" s="106"/>
      <c r="I3" s="106"/>
      <c r="J3" s="106"/>
      <c r="K3" s="481" t="s">
        <v>371</v>
      </c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3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9"/>
      <c r="BF3" s="106"/>
      <c r="BG3" s="106"/>
      <c r="BH3" s="106"/>
      <c r="BI3" s="106"/>
      <c r="BJ3" s="106"/>
    </row>
    <row r="4" spans="1:62" ht="16.5">
      <c r="A4" s="99"/>
      <c r="B4" s="99"/>
      <c r="C4" s="99"/>
      <c r="D4" s="99"/>
      <c r="E4" s="106"/>
      <c r="F4" s="106"/>
      <c r="G4" s="106"/>
      <c r="H4" s="106"/>
      <c r="I4" s="111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99"/>
      <c r="AL4" s="99"/>
      <c r="AM4" s="99"/>
      <c r="AN4" s="476" t="s">
        <v>372</v>
      </c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8"/>
    </row>
    <row r="5" spans="1:62" ht="16.5">
      <c r="A5" s="99"/>
      <c r="B5" s="99"/>
      <c r="C5" s="99"/>
      <c r="D5" s="99"/>
      <c r="E5" s="106"/>
      <c r="F5" s="106"/>
      <c r="G5" s="106"/>
      <c r="H5" s="106"/>
      <c r="I5" s="111"/>
      <c r="J5" s="106"/>
      <c r="K5" s="112">
        <v>1</v>
      </c>
      <c r="L5" s="112">
        <f>K5+1</f>
        <v>2</v>
      </c>
      <c r="M5" s="112">
        <f aca="true" t="shared" si="0" ref="M5:AI5">L5+1</f>
        <v>3</v>
      </c>
      <c r="N5" s="112">
        <f t="shared" si="0"/>
        <v>4</v>
      </c>
      <c r="O5" s="112">
        <f t="shared" si="0"/>
        <v>5</v>
      </c>
      <c r="P5" s="112">
        <f t="shared" si="0"/>
        <v>6</v>
      </c>
      <c r="Q5" s="112">
        <f t="shared" si="0"/>
        <v>7</v>
      </c>
      <c r="R5" s="112">
        <f t="shared" si="0"/>
        <v>8</v>
      </c>
      <c r="S5" s="112">
        <f t="shared" si="0"/>
        <v>9</v>
      </c>
      <c r="T5" s="112">
        <f t="shared" si="0"/>
        <v>10</v>
      </c>
      <c r="U5" s="112">
        <f t="shared" si="0"/>
        <v>11</v>
      </c>
      <c r="V5" s="112">
        <f t="shared" si="0"/>
        <v>12</v>
      </c>
      <c r="W5" s="112">
        <f t="shared" si="0"/>
        <v>13</v>
      </c>
      <c r="X5" s="112">
        <f t="shared" si="0"/>
        <v>14</v>
      </c>
      <c r="Y5" s="112">
        <f t="shared" si="0"/>
        <v>15</v>
      </c>
      <c r="Z5" s="112">
        <f t="shared" si="0"/>
        <v>16</v>
      </c>
      <c r="AA5" s="112">
        <f t="shared" si="0"/>
        <v>17</v>
      </c>
      <c r="AB5" s="112">
        <f t="shared" si="0"/>
        <v>18</v>
      </c>
      <c r="AC5" s="112">
        <f t="shared" si="0"/>
        <v>19</v>
      </c>
      <c r="AD5" s="112">
        <f t="shared" si="0"/>
        <v>20</v>
      </c>
      <c r="AE5" s="112">
        <f t="shared" si="0"/>
        <v>21</v>
      </c>
      <c r="AF5" s="112">
        <f t="shared" si="0"/>
        <v>22</v>
      </c>
      <c r="AG5" s="112">
        <f t="shared" si="0"/>
        <v>23</v>
      </c>
      <c r="AH5" s="112">
        <f t="shared" si="0"/>
        <v>24</v>
      </c>
      <c r="AI5" s="112">
        <f t="shared" si="0"/>
        <v>25</v>
      </c>
      <c r="AJ5" s="106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106"/>
      <c r="BF5" s="106"/>
      <c r="BG5" s="106"/>
      <c r="BH5" s="106"/>
      <c r="BI5" s="111"/>
      <c r="BJ5" s="106"/>
    </row>
    <row r="6" spans="1:62" ht="16.5">
      <c r="A6" s="99"/>
      <c r="B6" s="99"/>
      <c r="C6" s="99"/>
      <c r="D6" s="99"/>
      <c r="E6" s="106"/>
      <c r="F6" s="106"/>
      <c r="G6" s="106"/>
      <c r="H6" s="106"/>
      <c r="I6" s="111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99"/>
      <c r="AL6" s="99"/>
      <c r="AM6" s="99"/>
      <c r="AN6" s="112">
        <v>1</v>
      </c>
      <c r="AO6" s="112">
        <f>AN6+1</f>
        <v>2</v>
      </c>
      <c r="AP6" s="112">
        <f aca="true" t="shared" si="1" ref="AP6:BE6">AO6+1</f>
        <v>3</v>
      </c>
      <c r="AQ6" s="112">
        <f t="shared" si="1"/>
        <v>4</v>
      </c>
      <c r="AR6" s="112">
        <f t="shared" si="1"/>
        <v>5</v>
      </c>
      <c r="AS6" s="112">
        <f t="shared" si="1"/>
        <v>6</v>
      </c>
      <c r="AT6" s="112">
        <f t="shared" si="1"/>
        <v>7</v>
      </c>
      <c r="AU6" s="112">
        <f t="shared" si="1"/>
        <v>8</v>
      </c>
      <c r="AV6" s="112">
        <f t="shared" si="1"/>
        <v>9</v>
      </c>
      <c r="AW6" s="112">
        <f t="shared" si="1"/>
        <v>10</v>
      </c>
      <c r="AX6" s="112">
        <f t="shared" si="1"/>
        <v>11</v>
      </c>
      <c r="AY6" s="112">
        <f t="shared" si="1"/>
        <v>12</v>
      </c>
      <c r="AZ6" s="112">
        <f t="shared" si="1"/>
        <v>13</v>
      </c>
      <c r="BA6" s="112">
        <f t="shared" si="1"/>
        <v>14</v>
      </c>
      <c r="BB6" s="112">
        <f t="shared" si="1"/>
        <v>15</v>
      </c>
      <c r="BC6" s="112">
        <f t="shared" si="1"/>
        <v>16</v>
      </c>
      <c r="BD6" s="112">
        <f t="shared" si="1"/>
        <v>17</v>
      </c>
      <c r="BE6" s="112">
        <f t="shared" si="1"/>
        <v>18</v>
      </c>
      <c r="BF6" s="106"/>
      <c r="BG6" s="106"/>
      <c r="BH6" s="106"/>
      <c r="BI6" s="111"/>
      <c r="BJ6" s="106"/>
    </row>
    <row r="7" spans="1:62" ht="16.5">
      <c r="A7" s="99"/>
      <c r="B7" s="99"/>
      <c r="C7" s="99"/>
      <c r="D7" s="99"/>
      <c r="E7" s="106"/>
      <c r="F7" s="106"/>
      <c r="G7" s="106"/>
      <c r="H7" s="106"/>
      <c r="I7" s="111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106"/>
      <c r="BF7" s="106"/>
      <c r="BG7" s="106"/>
      <c r="BH7" s="106"/>
      <c r="BI7" s="111"/>
      <c r="BJ7" s="106"/>
    </row>
    <row r="8" spans="1:62" ht="16.5">
      <c r="A8" s="99"/>
      <c r="B8" s="99"/>
      <c r="C8" s="99"/>
      <c r="D8" s="99"/>
      <c r="E8" s="106"/>
      <c r="F8" s="479" t="s">
        <v>186</v>
      </c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/>
      <c r="AK8" s="480"/>
      <c r="AL8" s="480"/>
      <c r="AM8" s="480"/>
      <c r="AN8" s="480"/>
      <c r="AO8" s="480"/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480"/>
      <c r="BC8" s="480"/>
      <c r="BD8" s="480"/>
      <c r="BE8" s="480"/>
      <c r="BF8" s="106"/>
      <c r="BG8" s="106"/>
      <c r="BH8" s="106"/>
      <c r="BI8" s="111"/>
      <c r="BJ8" s="106"/>
    </row>
    <row r="9" spans="1:62" ht="16.5">
      <c r="A9" s="99"/>
      <c r="B9" s="99"/>
      <c r="C9" s="99"/>
      <c r="D9" s="99"/>
      <c r="E9" s="106"/>
      <c r="F9" s="106"/>
      <c r="G9" s="106"/>
      <c r="H9" s="106"/>
      <c r="I9" s="111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106"/>
      <c r="BF9" s="106"/>
      <c r="BG9" s="106"/>
      <c r="BH9" s="106"/>
      <c r="BI9" s="111"/>
      <c r="BJ9" s="106"/>
    </row>
    <row r="10" spans="6:57" s="107" customFormat="1" ht="9">
      <c r="F10" s="107">
        <v>1</v>
      </c>
      <c r="G10" s="107">
        <f>F10+1</f>
        <v>2</v>
      </c>
      <c r="H10" s="107">
        <f aca="true" t="shared" si="2" ref="H10:BE10">G10+1</f>
        <v>3</v>
      </c>
      <c r="I10" s="107">
        <f t="shared" si="2"/>
        <v>4</v>
      </c>
      <c r="J10" s="107">
        <f t="shared" si="2"/>
        <v>5</v>
      </c>
      <c r="K10" s="107">
        <f t="shared" si="2"/>
        <v>6</v>
      </c>
      <c r="L10" s="107">
        <f t="shared" si="2"/>
        <v>7</v>
      </c>
      <c r="M10" s="107">
        <f t="shared" si="2"/>
        <v>8</v>
      </c>
      <c r="N10" s="107">
        <f t="shared" si="2"/>
        <v>9</v>
      </c>
      <c r="O10" s="107">
        <f t="shared" si="2"/>
        <v>10</v>
      </c>
      <c r="P10" s="107">
        <f t="shared" si="2"/>
        <v>11</v>
      </c>
      <c r="Q10" s="107">
        <f t="shared" si="2"/>
        <v>12</v>
      </c>
      <c r="R10" s="107">
        <f t="shared" si="2"/>
        <v>13</v>
      </c>
      <c r="S10" s="107">
        <f t="shared" si="2"/>
        <v>14</v>
      </c>
      <c r="T10" s="107">
        <f t="shared" si="2"/>
        <v>15</v>
      </c>
      <c r="U10" s="107">
        <f t="shared" si="2"/>
        <v>16</v>
      </c>
      <c r="V10" s="107">
        <f t="shared" si="2"/>
        <v>17</v>
      </c>
      <c r="W10" s="107">
        <f t="shared" si="2"/>
        <v>18</v>
      </c>
      <c r="X10" s="107">
        <f t="shared" si="2"/>
        <v>19</v>
      </c>
      <c r="Y10" s="107">
        <f t="shared" si="2"/>
        <v>20</v>
      </c>
      <c r="Z10" s="107">
        <f t="shared" si="2"/>
        <v>21</v>
      </c>
      <c r="AA10" s="107">
        <f t="shared" si="2"/>
        <v>22</v>
      </c>
      <c r="AB10" s="107">
        <f t="shared" si="2"/>
        <v>23</v>
      </c>
      <c r="AC10" s="107">
        <f t="shared" si="2"/>
        <v>24</v>
      </c>
      <c r="AD10" s="107">
        <f t="shared" si="2"/>
        <v>25</v>
      </c>
      <c r="AE10" s="107">
        <f t="shared" si="2"/>
        <v>26</v>
      </c>
      <c r="AF10" s="107">
        <f t="shared" si="2"/>
        <v>27</v>
      </c>
      <c r="AG10" s="107">
        <f t="shared" si="2"/>
        <v>28</v>
      </c>
      <c r="AH10" s="107">
        <f t="shared" si="2"/>
        <v>29</v>
      </c>
      <c r="AI10" s="107">
        <f t="shared" si="2"/>
        <v>30</v>
      </c>
      <c r="AJ10" s="107">
        <f t="shared" si="2"/>
        <v>31</v>
      </c>
      <c r="AK10" s="107">
        <f t="shared" si="2"/>
        <v>32</v>
      </c>
      <c r="AL10" s="107">
        <f t="shared" si="2"/>
        <v>33</v>
      </c>
      <c r="AM10" s="107">
        <f t="shared" si="2"/>
        <v>34</v>
      </c>
      <c r="AN10" s="107">
        <f t="shared" si="2"/>
        <v>35</v>
      </c>
      <c r="AO10" s="107">
        <f t="shared" si="2"/>
        <v>36</v>
      </c>
      <c r="AP10" s="107">
        <f t="shared" si="2"/>
        <v>37</v>
      </c>
      <c r="AQ10" s="107">
        <f t="shared" si="2"/>
        <v>38</v>
      </c>
      <c r="AR10" s="107">
        <f t="shared" si="2"/>
        <v>39</v>
      </c>
      <c r="AS10" s="107">
        <f t="shared" si="2"/>
        <v>40</v>
      </c>
      <c r="AT10" s="107">
        <f t="shared" si="2"/>
        <v>41</v>
      </c>
      <c r="AU10" s="107">
        <f t="shared" si="2"/>
        <v>42</v>
      </c>
      <c r="AV10" s="107">
        <f t="shared" si="2"/>
        <v>43</v>
      </c>
      <c r="AW10" s="107">
        <f t="shared" si="2"/>
        <v>44</v>
      </c>
      <c r="AX10" s="107">
        <f t="shared" si="2"/>
        <v>45</v>
      </c>
      <c r="AY10" s="107">
        <f t="shared" si="2"/>
        <v>46</v>
      </c>
      <c r="AZ10" s="107">
        <f t="shared" si="2"/>
        <v>47</v>
      </c>
      <c r="BA10" s="107">
        <f t="shared" si="2"/>
        <v>48</v>
      </c>
      <c r="BB10" s="107">
        <f t="shared" si="2"/>
        <v>49</v>
      </c>
      <c r="BC10" s="107">
        <f t="shared" si="2"/>
        <v>50</v>
      </c>
      <c r="BD10" s="107">
        <f t="shared" si="2"/>
        <v>51</v>
      </c>
      <c r="BE10" s="107">
        <f t="shared" si="2"/>
        <v>52</v>
      </c>
    </row>
    <row r="13" ht="12.75">
      <c r="K13" s="100" t="s">
        <v>201</v>
      </c>
    </row>
    <row r="14" ht="12.75">
      <c r="K14" s="98" t="s">
        <v>204</v>
      </c>
    </row>
    <row r="15" spans="11:16" ht="12.75">
      <c r="K15" s="40" t="s">
        <v>202</v>
      </c>
      <c r="P15" s="39" t="s">
        <v>215</v>
      </c>
    </row>
    <row r="16" spans="11:16" ht="12.75">
      <c r="K16" s="40"/>
      <c r="P16" s="39" t="s">
        <v>203</v>
      </c>
    </row>
    <row r="17" spans="11:16" ht="12.75">
      <c r="K17" s="40"/>
      <c r="P17" s="39" t="s">
        <v>205</v>
      </c>
    </row>
    <row r="18" spans="11:16" ht="12.75">
      <c r="K18" s="40"/>
      <c r="P18" s="39"/>
    </row>
    <row r="19" ht="12.75">
      <c r="K19" s="40" t="s">
        <v>185</v>
      </c>
    </row>
    <row r="20" ht="12.75">
      <c r="K20" s="40"/>
    </row>
  </sheetData>
  <sheetProtection/>
  <mergeCells count="17">
    <mergeCell ref="K3:AM3"/>
    <mergeCell ref="O1:R1"/>
    <mergeCell ref="AN1:AQ1"/>
    <mergeCell ref="AR1:AV1"/>
    <mergeCell ref="AW1:AZ1"/>
    <mergeCell ref="BA1:BE1"/>
    <mergeCell ref="AJ1:AM1"/>
    <mergeCell ref="A1:E1"/>
    <mergeCell ref="BF1:BJ1"/>
    <mergeCell ref="AN4:BJ4"/>
    <mergeCell ref="F8:BE8"/>
    <mergeCell ref="F1:J1"/>
    <mergeCell ref="K1:N1"/>
    <mergeCell ref="S1:V1"/>
    <mergeCell ref="W1:Z1"/>
    <mergeCell ref="AA1:AD1"/>
    <mergeCell ref="AE1:AI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4"/>
  <sheetViews>
    <sheetView zoomScale="90" zoomScaleNormal="90" workbookViewId="0" topLeftCell="A1">
      <selection activeCell="C126" sqref="C126"/>
    </sheetView>
  </sheetViews>
  <sheetFormatPr defaultColWidth="9.140625" defaultRowHeight="12.75"/>
  <cols>
    <col min="1" max="1" width="7.421875" style="288" customWidth="1"/>
    <col min="2" max="2" width="51.7109375" style="288" customWidth="1"/>
    <col min="3" max="3" width="17.421875" style="288" customWidth="1"/>
    <col min="4" max="4" width="15.7109375" style="288" customWidth="1"/>
    <col min="5" max="5" width="16.421875" style="288" customWidth="1"/>
    <col min="6" max="6" width="15.7109375" style="288" customWidth="1"/>
    <col min="7" max="7" width="15.57421875" style="288" customWidth="1"/>
    <col min="8" max="8" width="19.57421875" style="288" hidden="1" customWidth="1"/>
    <col min="9" max="9" width="10.421875" style="288" hidden="1" customWidth="1"/>
    <col min="10" max="10" width="12.140625" style="288" hidden="1" customWidth="1"/>
    <col min="11" max="11" width="30.7109375" style="288" hidden="1" customWidth="1"/>
    <col min="12" max="12" width="26.57421875" style="288" hidden="1" customWidth="1"/>
    <col min="13" max="13" width="5.8515625" style="288" hidden="1" customWidth="1"/>
    <col min="14" max="14" width="38.8515625" style="288" hidden="1" customWidth="1"/>
    <col min="15" max="15" width="7.57421875" style="288" hidden="1" customWidth="1"/>
    <col min="16" max="16" width="14.57421875" style="288" hidden="1" customWidth="1"/>
    <col min="17" max="30" width="9.140625" style="288" hidden="1" customWidth="1"/>
    <col min="31" max="38" width="9.140625" style="288" customWidth="1"/>
    <col min="39" max="16384" width="9.140625" style="288" customWidth="1"/>
  </cols>
  <sheetData>
    <row r="1" spans="1:14" s="206" customFormat="1" ht="24.75" customHeight="1">
      <c r="A1" s="193"/>
      <c r="B1" s="205" t="s">
        <v>310</v>
      </c>
      <c r="C1" s="193"/>
      <c r="D1" s="193"/>
      <c r="E1" s="193"/>
      <c r="F1" s="193"/>
      <c r="G1" s="193"/>
      <c r="J1" s="207" t="e">
        <f>J4+#REF!+J12</f>
        <v>#REF!</v>
      </c>
      <c r="N1" s="124" t="s">
        <v>206</v>
      </c>
    </row>
    <row r="2" spans="1:18" s="206" customFormat="1" ht="24.75" customHeight="1" thickBot="1">
      <c r="A2" s="193"/>
      <c r="B2" s="402" t="str">
        <f>+'01. timeline'!K3</f>
        <v>GENAP 2017/2018</v>
      </c>
      <c r="C2" s="402" t="str">
        <f>+'01. timeline'!AN4</f>
        <v>GANJIL 2018/2019</v>
      </c>
      <c r="D2" s="403"/>
      <c r="E2" s="401"/>
      <c r="F2" s="193"/>
      <c r="G2" s="193"/>
      <c r="H2" s="503" t="s">
        <v>184</v>
      </c>
      <c r="I2" s="503"/>
      <c r="J2" s="503"/>
      <c r="K2" s="503"/>
      <c r="P2" s="208">
        <v>12</v>
      </c>
      <c r="Q2" s="208">
        <v>14</v>
      </c>
      <c r="R2" s="208">
        <v>16</v>
      </c>
    </row>
    <row r="3" spans="1:18" s="206" customFormat="1" ht="24.75" customHeight="1">
      <c r="A3" s="193"/>
      <c r="B3" s="289" t="s">
        <v>91</v>
      </c>
      <c r="C3" s="193" t="s">
        <v>338</v>
      </c>
      <c r="D3" s="193" t="s">
        <v>339</v>
      </c>
      <c r="E3" s="290" t="s">
        <v>258</v>
      </c>
      <c r="F3" s="193">
        <v>150</v>
      </c>
      <c r="G3" s="193"/>
      <c r="I3" s="209" t="s">
        <v>161</v>
      </c>
      <c r="J3" s="209" t="s">
        <v>21</v>
      </c>
      <c r="K3" s="209" t="s">
        <v>188</v>
      </c>
      <c r="N3" s="210"/>
      <c r="O3" s="211"/>
      <c r="P3" s="487" t="s">
        <v>211</v>
      </c>
      <c r="Q3" s="487"/>
      <c r="R3" s="488"/>
    </row>
    <row r="4" spans="1:18" s="206" customFormat="1" ht="24.75" customHeight="1">
      <c r="A4" s="193"/>
      <c r="B4" s="289" t="s">
        <v>92</v>
      </c>
      <c r="C4" s="193" t="s">
        <v>340</v>
      </c>
      <c r="D4" s="193" t="s">
        <v>309</v>
      </c>
      <c r="E4" s="290" t="s">
        <v>258</v>
      </c>
      <c r="F4" s="193">
        <v>200</v>
      </c>
      <c r="G4" s="193"/>
      <c r="H4" s="206" t="s">
        <v>79</v>
      </c>
      <c r="I4" s="212">
        <f>I20+I22+I21+I77+I136</f>
        <v>24.5</v>
      </c>
      <c r="J4" s="209">
        <f>G46+F77+F106+D136</f>
        <v>11.75</v>
      </c>
      <c r="K4" s="206" t="s">
        <v>187</v>
      </c>
      <c r="N4" s="213" t="s">
        <v>207</v>
      </c>
      <c r="O4" s="214" t="s">
        <v>216</v>
      </c>
      <c r="P4" s="215">
        <f>0.45*$P$2</f>
        <v>5.4</v>
      </c>
      <c r="Q4" s="215">
        <f>0.45*Q2</f>
        <v>6.3</v>
      </c>
      <c r="R4" s="216">
        <f>0.45*R2</f>
        <v>7.2</v>
      </c>
    </row>
    <row r="5" spans="1:18" s="206" customFormat="1" ht="24.75" customHeight="1">
      <c r="A5" s="193"/>
      <c r="B5" s="289" t="s">
        <v>225</v>
      </c>
      <c r="C5" s="193"/>
      <c r="D5" s="193"/>
      <c r="E5" s="290" t="s">
        <v>224</v>
      </c>
      <c r="F5" s="289">
        <f>F4-F3</f>
        <v>50</v>
      </c>
      <c r="G5" s="193"/>
      <c r="K5" s="206" t="s">
        <v>199</v>
      </c>
      <c r="N5" s="217" t="s">
        <v>208</v>
      </c>
      <c r="O5" s="218" t="s">
        <v>217</v>
      </c>
      <c r="P5" s="215">
        <f>0.35*P2</f>
        <v>4.199999999999999</v>
      </c>
      <c r="Q5" s="215">
        <f>0.35*Q2</f>
        <v>4.8999999999999995</v>
      </c>
      <c r="R5" s="216">
        <f>0.35*R2</f>
        <v>5.6</v>
      </c>
    </row>
    <row r="6" spans="1:18" s="206" customFormat="1" ht="24.75" customHeight="1">
      <c r="A6" s="193"/>
      <c r="B6" s="289" t="s">
        <v>93</v>
      </c>
      <c r="C6" s="193"/>
      <c r="D6" s="193"/>
      <c r="E6" s="290" t="s">
        <v>224</v>
      </c>
      <c r="F6" s="289">
        <v>2</v>
      </c>
      <c r="G6" s="193" t="s">
        <v>94</v>
      </c>
      <c r="K6" s="206" t="s">
        <v>197</v>
      </c>
      <c r="N6" s="217" t="s">
        <v>209</v>
      </c>
      <c r="O6" s="218" t="s">
        <v>218</v>
      </c>
      <c r="P6" s="215">
        <f>0.1*P2</f>
        <v>1.2000000000000002</v>
      </c>
      <c r="Q6" s="215">
        <f>0.1*Q2</f>
        <v>1.4000000000000001</v>
      </c>
      <c r="R6" s="216">
        <f>0.1*R2</f>
        <v>1.6</v>
      </c>
    </row>
    <row r="7" spans="1:18" s="206" customFormat="1" ht="24.75" customHeight="1">
      <c r="A7" s="219"/>
      <c r="B7" s="289"/>
      <c r="C7" s="219"/>
      <c r="D7" s="219"/>
      <c r="E7" s="290"/>
      <c r="F7" s="219"/>
      <c r="G7" s="219"/>
      <c r="K7" s="206" t="s">
        <v>214</v>
      </c>
      <c r="N7" s="217" t="s">
        <v>210</v>
      </c>
      <c r="O7" s="218" t="s">
        <v>218</v>
      </c>
      <c r="P7" s="215">
        <f>0.1*P2</f>
        <v>1.2000000000000002</v>
      </c>
      <c r="Q7" s="215">
        <f>0.1*Q2</f>
        <v>1.4000000000000001</v>
      </c>
      <c r="R7" s="216">
        <f>0.1*R2</f>
        <v>1.6</v>
      </c>
    </row>
    <row r="8" spans="1:18" s="206" customFormat="1" ht="24.75" customHeight="1" thickBot="1">
      <c r="A8" s="193"/>
      <c r="B8" s="289" t="s">
        <v>198</v>
      </c>
      <c r="C8" s="193"/>
      <c r="D8" s="193"/>
      <c r="E8" s="290" t="s">
        <v>224</v>
      </c>
      <c r="F8" s="291">
        <f>F5/F6</f>
        <v>25</v>
      </c>
      <c r="G8" s="193"/>
      <c r="N8" s="192" t="s">
        <v>42</v>
      </c>
      <c r="O8" s="220"/>
      <c r="P8" s="221">
        <f>SUM(P4:P7)</f>
        <v>12</v>
      </c>
      <c r="Q8" s="221">
        <f>SUM(Q4:Q7)</f>
        <v>14</v>
      </c>
      <c r="R8" s="222">
        <f>SUM(R4:R7)</f>
        <v>16</v>
      </c>
    </row>
    <row r="9" spans="14:18" s="206" customFormat="1" ht="24.75" customHeight="1">
      <c r="N9" s="217" t="s">
        <v>209</v>
      </c>
      <c r="O9" s="218" t="s">
        <v>218</v>
      </c>
      <c r="P9" s="215" t="e">
        <f>0.1*#REF!</f>
        <v>#REF!</v>
      </c>
      <c r="Q9" s="215" t="e">
        <f>0.1*#REF!</f>
        <v>#REF!</v>
      </c>
      <c r="R9" s="216" t="e">
        <f>0.1*#REF!</f>
        <v>#REF!</v>
      </c>
    </row>
    <row r="10" spans="14:18" s="206" customFormat="1" ht="24.75" customHeight="1">
      <c r="N10" s="217" t="s">
        <v>210</v>
      </c>
      <c r="O10" s="218" t="s">
        <v>218</v>
      </c>
      <c r="P10" s="215" t="e">
        <f>0.1*#REF!</f>
        <v>#REF!</v>
      </c>
      <c r="Q10" s="215" t="e">
        <f>0.1*#REF!</f>
        <v>#REF!</v>
      </c>
      <c r="R10" s="216" t="e">
        <f>0.1*#REF!</f>
        <v>#REF!</v>
      </c>
    </row>
    <row r="11" spans="8:18" s="206" customFormat="1" ht="24.75" customHeight="1" thickBot="1">
      <c r="H11" s="224"/>
      <c r="I11" s="224"/>
      <c r="J11" s="224"/>
      <c r="K11" s="224"/>
      <c r="N11" s="192" t="s">
        <v>42</v>
      </c>
      <c r="O11" s="220"/>
      <c r="P11" s="221" t="e">
        <f>SUM(P9:P10)</f>
        <v>#REF!</v>
      </c>
      <c r="Q11" s="221" t="e">
        <f>SUM(Q9:Q10)</f>
        <v>#REF!</v>
      </c>
      <c r="R11" s="222" t="e">
        <f>SUM(R9:R10)</f>
        <v>#REF!</v>
      </c>
    </row>
    <row r="12" s="206" customFormat="1" ht="24.75" customHeight="1">
      <c r="J12" s="209">
        <f>SUM(J13:J14)</f>
        <v>2</v>
      </c>
    </row>
    <row r="13" spans="9:11" s="206" customFormat="1" ht="24.75" customHeight="1">
      <c r="I13" s="206" t="s">
        <v>200</v>
      </c>
      <c r="J13" s="209">
        <v>1</v>
      </c>
      <c r="K13" s="206" t="s">
        <v>194</v>
      </c>
    </row>
    <row r="14" spans="9:11" s="206" customFormat="1" ht="24.75" customHeight="1">
      <c r="I14" s="206" t="s">
        <v>196</v>
      </c>
      <c r="J14" s="209">
        <v>1</v>
      </c>
      <c r="K14" s="206" t="s">
        <v>195</v>
      </c>
    </row>
    <row r="15" spans="1:11" s="206" customFormat="1" ht="24.75" customHeight="1">
      <c r="A15" s="146"/>
      <c r="B15" s="225" t="s">
        <v>129</v>
      </c>
      <c r="C15" s="146"/>
      <c r="D15" s="146"/>
      <c r="E15" s="146"/>
      <c r="F15" s="146"/>
      <c r="G15" s="146"/>
      <c r="I15" s="206" t="s">
        <v>213</v>
      </c>
      <c r="K15" s="206" t="s">
        <v>212</v>
      </c>
    </row>
    <row r="16" spans="1:7" s="206" customFormat="1" ht="24.75" customHeight="1">
      <c r="A16" s="136">
        <v>1</v>
      </c>
      <c r="B16" s="380" t="s">
        <v>78</v>
      </c>
      <c r="C16" s="226"/>
      <c r="D16" s="226"/>
      <c r="E16" s="226"/>
      <c r="F16" s="226" t="s">
        <v>21</v>
      </c>
      <c r="G16" s="212">
        <f>G48</f>
        <v>8</v>
      </c>
    </row>
    <row r="17" spans="1:7" s="206" customFormat="1" ht="24.75" customHeight="1">
      <c r="A17" s="227"/>
      <c r="B17" s="228" t="s">
        <v>221</v>
      </c>
      <c r="C17" s="229"/>
      <c r="D17" s="229"/>
      <c r="E17" s="229"/>
      <c r="F17" s="229" t="s">
        <v>81</v>
      </c>
      <c r="G17" s="230">
        <f>D48</f>
        <v>16</v>
      </c>
    </row>
    <row r="18" s="206" customFormat="1" ht="24.75" customHeight="1" thickBot="1">
      <c r="B18" s="124" t="str">
        <f>B2</f>
        <v>GENAP 2017/2018</v>
      </c>
    </row>
    <row r="19" spans="2:11" s="206" customFormat="1" ht="49.5" customHeight="1">
      <c r="B19" s="383" t="s">
        <v>80</v>
      </c>
      <c r="C19" s="314" t="s">
        <v>81</v>
      </c>
      <c r="D19" s="405" t="s">
        <v>82</v>
      </c>
      <c r="E19" s="405" t="s">
        <v>83</v>
      </c>
      <c r="F19" s="310" t="s">
        <v>84</v>
      </c>
      <c r="H19" s="231"/>
      <c r="I19" s="231"/>
      <c r="J19" s="231"/>
      <c r="K19" s="231"/>
    </row>
    <row r="20" spans="2:11" s="206" customFormat="1" ht="30" customHeight="1">
      <c r="B20" s="324" t="s">
        <v>153</v>
      </c>
      <c r="C20" s="325" t="s">
        <v>154</v>
      </c>
      <c r="D20" s="325" t="s">
        <v>155</v>
      </c>
      <c r="E20" s="325" t="s">
        <v>156</v>
      </c>
      <c r="F20" s="326" t="s">
        <v>157</v>
      </c>
      <c r="H20" s="206" t="s">
        <v>162</v>
      </c>
      <c r="I20" s="208">
        <f>F27*1</f>
        <v>7.5</v>
      </c>
      <c r="J20" s="232" t="s">
        <v>165</v>
      </c>
      <c r="K20" s="232"/>
    </row>
    <row r="21" spans="2:11" s="206" customFormat="1" ht="24.75" customHeight="1">
      <c r="B21" s="413" t="s">
        <v>344</v>
      </c>
      <c r="C21" s="414">
        <v>4</v>
      </c>
      <c r="D21" s="414">
        <v>1</v>
      </c>
      <c r="E21" s="414">
        <v>2</v>
      </c>
      <c r="F21" s="293">
        <f aca="true" t="shared" si="0" ref="F21:F26">IF(C21=0,0,(C21*D21)/E21)</f>
        <v>2</v>
      </c>
      <c r="H21" s="206" t="s">
        <v>163</v>
      </c>
      <c r="I21" s="208">
        <f>F27*1</f>
        <v>7.5</v>
      </c>
      <c r="J21" s="232" t="s">
        <v>165</v>
      </c>
      <c r="K21" s="232"/>
    </row>
    <row r="22" spans="2:11" s="206" customFormat="1" ht="24.75" customHeight="1">
      <c r="B22" s="413" t="s">
        <v>342</v>
      </c>
      <c r="C22" s="414">
        <v>3</v>
      </c>
      <c r="D22" s="414">
        <v>1</v>
      </c>
      <c r="E22" s="414">
        <v>1</v>
      </c>
      <c r="F22" s="293">
        <f t="shared" si="0"/>
        <v>3</v>
      </c>
      <c r="H22" s="206" t="s">
        <v>160</v>
      </c>
      <c r="I22" s="208">
        <f>F27*1</f>
        <v>7.5</v>
      </c>
      <c r="J22" s="232" t="s">
        <v>165</v>
      </c>
      <c r="K22" s="232"/>
    </row>
    <row r="23" spans="2:6" s="206" customFormat="1" ht="24.75" customHeight="1">
      <c r="B23" s="413" t="s">
        <v>341</v>
      </c>
      <c r="C23" s="416">
        <v>3</v>
      </c>
      <c r="D23" s="416">
        <v>1</v>
      </c>
      <c r="E23" s="416">
        <v>2</v>
      </c>
      <c r="F23" s="293">
        <f t="shared" si="0"/>
        <v>1.5</v>
      </c>
    </row>
    <row r="24" spans="2:6" s="206" customFormat="1" ht="24.75" customHeight="1">
      <c r="B24" s="415" t="s">
        <v>343</v>
      </c>
      <c r="C24" s="416">
        <v>2</v>
      </c>
      <c r="D24" s="416">
        <v>1</v>
      </c>
      <c r="E24" s="416">
        <v>2</v>
      </c>
      <c r="F24" s="293">
        <f t="shared" si="0"/>
        <v>1</v>
      </c>
    </row>
    <row r="25" spans="2:6" s="206" customFormat="1" ht="24.75" customHeight="1">
      <c r="B25" s="465"/>
      <c r="C25" s="233"/>
      <c r="D25" s="215">
        <v>1</v>
      </c>
      <c r="E25" s="215">
        <v>2</v>
      </c>
      <c r="F25" s="293">
        <f t="shared" si="0"/>
        <v>0</v>
      </c>
    </row>
    <row r="26" spans="2:6" s="206" customFormat="1" ht="24.75" customHeight="1">
      <c r="B26" s="465"/>
      <c r="C26" s="233"/>
      <c r="D26" s="215">
        <v>1</v>
      </c>
      <c r="E26" s="215">
        <v>2</v>
      </c>
      <c r="F26" s="293">
        <f t="shared" si="0"/>
        <v>0</v>
      </c>
    </row>
    <row r="27" spans="2:6" s="206" customFormat="1" ht="24.75" customHeight="1" thickBot="1">
      <c r="B27" s="327" t="s">
        <v>42</v>
      </c>
      <c r="C27" s="328">
        <f>SUM(C21:C26)</f>
        <v>12</v>
      </c>
      <c r="D27" s="329"/>
      <c r="E27" s="329"/>
      <c r="F27" s="330">
        <f>SUM(F21:F26)</f>
        <v>7.5</v>
      </c>
    </row>
    <row r="28" spans="2:6" s="206" customFormat="1" ht="24.75" customHeight="1">
      <c r="B28" s="234" t="s">
        <v>152</v>
      </c>
      <c r="C28" s="209"/>
      <c r="D28" s="209"/>
      <c r="E28" s="209"/>
      <c r="F28" s="209"/>
    </row>
    <row r="29" spans="2:6" s="206" customFormat="1" ht="24.75" customHeight="1">
      <c r="B29" s="223" t="s">
        <v>151</v>
      </c>
      <c r="C29" s="209"/>
      <c r="D29" s="209"/>
      <c r="E29" s="209"/>
      <c r="F29" s="209"/>
    </row>
    <row r="30" s="206" customFormat="1" ht="24.75" customHeight="1" thickBot="1">
      <c r="B30" s="124" t="str">
        <f>C2</f>
        <v>GANJIL 2018/2019</v>
      </c>
    </row>
    <row r="31" spans="2:11" s="206" customFormat="1" ht="34.5" customHeight="1">
      <c r="B31" s="323" t="s">
        <v>80</v>
      </c>
      <c r="C31" s="306" t="s">
        <v>81</v>
      </c>
      <c r="D31" s="306" t="s">
        <v>82</v>
      </c>
      <c r="E31" s="306" t="s">
        <v>83</v>
      </c>
      <c r="F31" s="307" t="s">
        <v>84</v>
      </c>
      <c r="H31" s="231"/>
      <c r="I31" s="231"/>
      <c r="J31" s="231"/>
      <c r="K31" s="231"/>
    </row>
    <row r="32" spans="2:8" s="206" customFormat="1" ht="30" customHeight="1">
      <c r="B32" s="324" t="s">
        <v>153</v>
      </c>
      <c r="C32" s="325" t="s">
        <v>154</v>
      </c>
      <c r="D32" s="325" t="s">
        <v>155</v>
      </c>
      <c r="E32" s="325" t="s">
        <v>156</v>
      </c>
      <c r="F32" s="326" t="s">
        <v>157</v>
      </c>
      <c r="H32" s="231"/>
    </row>
    <row r="33" spans="2:11" s="206" customFormat="1" ht="24.75" customHeight="1">
      <c r="B33" s="465" t="s">
        <v>373</v>
      </c>
      <c r="C33" s="414">
        <v>4</v>
      </c>
      <c r="D33" s="414">
        <v>1</v>
      </c>
      <c r="E33" s="414">
        <v>2</v>
      </c>
      <c r="F33" s="293">
        <f aca="true" t="shared" si="1" ref="F33:F39">IF(C33=0,0,(C33*D33)/E33)</f>
        <v>2</v>
      </c>
      <c r="H33" s="206" t="s">
        <v>162</v>
      </c>
      <c r="I33" s="235">
        <f>F40*1</f>
        <v>8.5</v>
      </c>
      <c r="J33" s="232" t="s">
        <v>165</v>
      </c>
      <c r="K33" s="232"/>
    </row>
    <row r="34" spans="2:11" s="206" customFormat="1" ht="24.75" customHeight="1">
      <c r="B34" s="465" t="s">
        <v>374</v>
      </c>
      <c r="C34" s="416">
        <v>2</v>
      </c>
      <c r="D34" s="416">
        <v>1</v>
      </c>
      <c r="E34" s="416">
        <v>1</v>
      </c>
      <c r="F34" s="293">
        <f t="shared" si="1"/>
        <v>2</v>
      </c>
      <c r="H34" s="206" t="s">
        <v>163</v>
      </c>
      <c r="I34" s="235">
        <f>F40*1</f>
        <v>8.5</v>
      </c>
      <c r="J34" s="232" t="s">
        <v>165</v>
      </c>
      <c r="K34" s="232"/>
    </row>
    <row r="35" spans="2:11" s="206" customFormat="1" ht="24.75" customHeight="1">
      <c r="B35" s="465" t="s">
        <v>375</v>
      </c>
      <c r="C35" s="416">
        <v>3</v>
      </c>
      <c r="D35" s="416">
        <v>1</v>
      </c>
      <c r="E35" s="416">
        <v>1</v>
      </c>
      <c r="F35" s="293">
        <f t="shared" si="1"/>
        <v>3</v>
      </c>
      <c r="H35" s="206" t="s">
        <v>160</v>
      </c>
      <c r="I35" s="235">
        <f>F40*1</f>
        <v>8.5</v>
      </c>
      <c r="J35" s="232" t="s">
        <v>165</v>
      </c>
      <c r="K35" s="232"/>
    </row>
    <row r="36" spans="2:11" s="206" customFormat="1" ht="24.75" customHeight="1">
      <c r="B36" s="465" t="s">
        <v>376</v>
      </c>
      <c r="C36" s="416">
        <v>3</v>
      </c>
      <c r="D36" s="416">
        <v>1</v>
      </c>
      <c r="E36" s="416">
        <v>2</v>
      </c>
      <c r="F36" s="293">
        <f t="shared" si="1"/>
        <v>1.5</v>
      </c>
      <c r="I36" s="235"/>
      <c r="J36" s="232"/>
      <c r="K36" s="232"/>
    </row>
    <row r="37" spans="2:11" s="206" customFormat="1" ht="24.75" customHeight="1">
      <c r="B37" s="465"/>
      <c r="C37" s="215"/>
      <c r="D37" s="215">
        <v>1</v>
      </c>
      <c r="E37" s="215">
        <v>2</v>
      </c>
      <c r="F37" s="293">
        <f t="shared" si="1"/>
        <v>0</v>
      </c>
      <c r="I37" s="235"/>
      <c r="J37" s="232"/>
      <c r="K37" s="232"/>
    </row>
    <row r="38" spans="2:11" s="206" customFormat="1" ht="24.75" customHeight="1">
      <c r="B38" s="465"/>
      <c r="C38" s="215"/>
      <c r="D38" s="215">
        <v>1</v>
      </c>
      <c r="E38" s="215">
        <v>2</v>
      </c>
      <c r="F38" s="293">
        <f t="shared" si="1"/>
        <v>0</v>
      </c>
      <c r="I38" s="235"/>
      <c r="J38" s="232"/>
      <c r="K38" s="232"/>
    </row>
    <row r="39" spans="2:11" s="206" customFormat="1" ht="24.75" customHeight="1">
      <c r="B39" s="465"/>
      <c r="C39" s="215"/>
      <c r="D39" s="215">
        <v>1</v>
      </c>
      <c r="E39" s="215">
        <v>2</v>
      </c>
      <c r="F39" s="293">
        <f t="shared" si="1"/>
        <v>0</v>
      </c>
      <c r="I39" s="235"/>
      <c r="J39" s="232"/>
      <c r="K39" s="232"/>
    </row>
    <row r="40" spans="2:11" s="206" customFormat="1" ht="24.75" customHeight="1" thickBot="1">
      <c r="B40" s="327" t="s">
        <v>42</v>
      </c>
      <c r="C40" s="329">
        <f>SUM(C33:C39)</f>
        <v>12</v>
      </c>
      <c r="D40" s="331"/>
      <c r="E40" s="331"/>
      <c r="F40" s="330">
        <f>SUM(F33:F39)</f>
        <v>8.5</v>
      </c>
      <c r="K40" s="232"/>
    </row>
    <row r="41" spans="3:6" s="206" customFormat="1" ht="24.75" customHeight="1">
      <c r="C41" s="394" t="s">
        <v>261</v>
      </c>
      <c r="D41" s="394" t="s">
        <v>296</v>
      </c>
      <c r="E41" s="209"/>
      <c r="F41" s="209"/>
    </row>
    <row r="42" spans="2:6" s="206" customFormat="1" ht="24.75" customHeight="1" thickBot="1">
      <c r="B42" s="124" t="s">
        <v>259</v>
      </c>
      <c r="C42" s="259">
        <f>IF(C3="Lektor",1,IF(C3="LEKTOR",1,IF(C3="Lektor Kepala",1,IF(C3="LEKTOR KEPALA",1,IF(C3="Guru Besar",1,IF(C3="GURU BESAR",1,IF(C3="Asisten Ahli",0.5,IF(C3="ASISTEN AHLI",0.5,1))))))))</f>
        <v>0.5</v>
      </c>
      <c r="D42" s="259">
        <f>IF(C3="Lektor",0.5,IF(C3="LEKTOR",0.5,IF(C3="Lektor Kepala",0.5,IF(C3="LEKTOR KEPALA",0.5,IF(C3="Guru Besar",0.5,IF(C3="GURU BESAR",0.5,IF(C3="Asisten Ahli",0.25,IF(C3="ASISTEN AHLI",0.25,0.5))))))))</f>
        <v>0.25</v>
      </c>
      <c r="E42" s="209"/>
      <c r="F42" s="209"/>
    </row>
    <row r="43" spans="2:7" s="206" customFormat="1" ht="24.75" customHeight="1">
      <c r="B43" s="500" t="s">
        <v>223</v>
      </c>
      <c r="C43" s="493" t="s">
        <v>81</v>
      </c>
      <c r="D43" s="493" t="s">
        <v>88</v>
      </c>
      <c r="E43" s="489" t="s">
        <v>21</v>
      </c>
      <c r="F43" s="489"/>
      <c r="G43" s="490"/>
    </row>
    <row r="44" spans="2:7" s="206" customFormat="1" ht="34.5" customHeight="1">
      <c r="B44" s="501"/>
      <c r="C44" s="494"/>
      <c r="D44" s="494"/>
      <c r="E44" s="315" t="s">
        <v>260</v>
      </c>
      <c r="F44" s="389" t="s">
        <v>295</v>
      </c>
      <c r="G44" s="491" t="s">
        <v>42</v>
      </c>
    </row>
    <row r="45" spans="2:7" s="206" customFormat="1" ht="24.75" customHeight="1">
      <c r="B45" s="502"/>
      <c r="C45" s="495"/>
      <c r="D45" s="495"/>
      <c r="E45" s="390" t="str">
        <f>"x ("&amp;C42&amp;")"</f>
        <v>x (0,5)</v>
      </c>
      <c r="F45" s="390" t="str">
        <f>" x ("&amp;D42&amp;")"</f>
        <v> x (0,25)</v>
      </c>
      <c r="G45" s="492"/>
    </row>
    <row r="46" spans="2:7" s="206" customFormat="1" ht="24.75" customHeight="1">
      <c r="B46" s="203" t="str">
        <f>B18</f>
        <v>GENAP 2017/2018</v>
      </c>
      <c r="C46" s="294">
        <f>C27</f>
        <v>12</v>
      </c>
      <c r="D46" s="270">
        <f>F27</f>
        <v>7.5</v>
      </c>
      <c r="E46" s="270">
        <f>IF(D46&gt;=10,(10*C42),(D46*C42))</f>
        <v>3.75</v>
      </c>
      <c r="F46" s="270">
        <f>IF(D46&gt;10,(D46-10)*D42,0)</f>
        <v>0</v>
      </c>
      <c r="G46" s="292">
        <f>SUM(E46:F46)</f>
        <v>3.75</v>
      </c>
    </row>
    <row r="47" spans="2:7" s="206" customFormat="1" ht="24.75" customHeight="1">
      <c r="B47" s="203" t="str">
        <f>B30</f>
        <v>GANJIL 2018/2019</v>
      </c>
      <c r="C47" s="294">
        <f>C40</f>
        <v>12</v>
      </c>
      <c r="D47" s="270">
        <f>F40</f>
        <v>8.5</v>
      </c>
      <c r="E47" s="270">
        <f>IF(D47&gt;=10,(10*C42),(D47*C42))</f>
        <v>4.25</v>
      </c>
      <c r="F47" s="270">
        <f>IF(D47&gt;10,(D47-10)*D42,0)</f>
        <v>0</v>
      </c>
      <c r="G47" s="292">
        <f>SUM(E47:F47)</f>
        <v>4.25</v>
      </c>
    </row>
    <row r="48" spans="2:7" s="206" customFormat="1" ht="24.75" customHeight="1" thickBot="1">
      <c r="B48" s="332" t="s">
        <v>42</v>
      </c>
      <c r="C48" s="333">
        <f>SUM(C46:C47)</f>
        <v>24</v>
      </c>
      <c r="D48" s="295">
        <f>SUM(D46:D47)</f>
        <v>16</v>
      </c>
      <c r="E48" s="272">
        <f>SUM(E46:E47)</f>
        <v>8</v>
      </c>
      <c r="F48" s="272">
        <f>SUM(F46:F47)</f>
        <v>0</v>
      </c>
      <c r="G48" s="296">
        <f>SUM(G46:G47)</f>
        <v>8</v>
      </c>
    </row>
    <row r="49" s="206" customFormat="1" ht="24.75" customHeight="1"/>
    <row r="50" spans="1:7" s="206" customFormat="1" ht="24.75" customHeight="1">
      <c r="A50" s="136">
        <v>2</v>
      </c>
      <c r="B50" s="377" t="s">
        <v>95</v>
      </c>
      <c r="C50" s="137"/>
      <c r="D50" s="137"/>
      <c r="E50" s="137"/>
      <c r="F50" s="137" t="s">
        <v>21</v>
      </c>
      <c r="G50" s="212">
        <f>D56</f>
        <v>2</v>
      </c>
    </row>
    <row r="51" spans="2:11" s="206" customFormat="1" ht="24.75" customHeight="1" thickBot="1">
      <c r="B51" s="124" t="s">
        <v>221</v>
      </c>
      <c r="C51" s="124"/>
      <c r="D51" s="124"/>
      <c r="E51" s="124"/>
      <c r="F51" s="124"/>
      <c r="G51" s="209">
        <f>C56</f>
        <v>2</v>
      </c>
      <c r="H51" s="231"/>
      <c r="I51" s="231"/>
      <c r="J51" s="231"/>
      <c r="K51" s="231"/>
    </row>
    <row r="52" spans="2:11" s="206" customFormat="1" ht="24.75" customHeight="1">
      <c r="B52" s="321" t="s">
        <v>269</v>
      </c>
      <c r="C52" s="322" t="s">
        <v>96</v>
      </c>
      <c r="D52" s="312" t="s">
        <v>21</v>
      </c>
      <c r="F52" s="219"/>
      <c r="G52" s="231"/>
      <c r="H52" s="231"/>
      <c r="I52" s="231"/>
      <c r="J52" s="231"/>
      <c r="K52" s="231"/>
    </row>
    <row r="53" spans="2:11" s="206" customFormat="1" ht="24.75" customHeight="1">
      <c r="B53" s="236" t="s">
        <v>153</v>
      </c>
      <c r="C53" s="237" t="s">
        <v>154</v>
      </c>
      <c r="D53" s="238" t="s">
        <v>155</v>
      </c>
      <c r="F53" s="219"/>
      <c r="G53" s="231"/>
      <c r="H53" s="206" t="s">
        <v>164</v>
      </c>
      <c r="I53" s="235">
        <f>C56</f>
        <v>2</v>
      </c>
      <c r="J53" s="232" t="s">
        <v>165</v>
      </c>
      <c r="K53" s="232"/>
    </row>
    <row r="54" spans="2:5" s="206" customFormat="1" ht="24.75" customHeight="1">
      <c r="B54" s="203" t="str">
        <f>B46</f>
        <v>GENAP 2017/2018</v>
      </c>
      <c r="C54" s="215">
        <v>1</v>
      </c>
      <c r="D54" s="298">
        <f>IF(C54&gt;=1,1,0)</f>
        <v>1</v>
      </c>
      <c r="E54" s="297">
        <f>IF(C54&gt;=1,1,0)</f>
        <v>1</v>
      </c>
    </row>
    <row r="55" spans="2:5" s="206" customFormat="1" ht="24.75" customHeight="1">
      <c r="B55" s="203" t="str">
        <f>B47</f>
        <v>GANJIL 2018/2019</v>
      </c>
      <c r="C55" s="215">
        <v>1</v>
      </c>
      <c r="D55" s="299">
        <f>IF(C55&gt;=1,1,0)</f>
        <v>1</v>
      </c>
      <c r="E55" s="297">
        <f>IF(C55&gt;=1,1,0)</f>
        <v>1</v>
      </c>
    </row>
    <row r="56" spans="2:5" s="206" customFormat="1" ht="24.75" customHeight="1" thickBot="1">
      <c r="B56" s="327" t="s">
        <v>42</v>
      </c>
      <c r="C56" s="272">
        <f>E56</f>
        <v>2</v>
      </c>
      <c r="D56" s="273">
        <f>SUM(D54:D55)</f>
        <v>2</v>
      </c>
      <c r="E56" s="297">
        <f>SUM(E54:E55)</f>
        <v>2</v>
      </c>
    </row>
    <row r="57" s="206" customFormat="1" ht="24.75" customHeight="1">
      <c r="B57" s="206" t="s">
        <v>262</v>
      </c>
    </row>
    <row r="58" s="206" customFormat="1" ht="24.75" customHeight="1">
      <c r="B58" s="240" t="s">
        <v>158</v>
      </c>
    </row>
    <row r="59" s="206" customFormat="1" ht="24.75" customHeight="1">
      <c r="H59" s="241"/>
    </row>
    <row r="60" spans="1:8" s="206" customFormat="1" ht="34.5" customHeight="1">
      <c r="A60" s="136">
        <v>3</v>
      </c>
      <c r="B60" s="379" t="s">
        <v>229</v>
      </c>
      <c r="C60" s="242"/>
      <c r="D60" s="242"/>
      <c r="E60" s="242"/>
      <c r="F60" s="242"/>
      <c r="G60" s="243">
        <f>F66</f>
        <v>2</v>
      </c>
      <c r="H60" s="206" t="s">
        <v>21</v>
      </c>
    </row>
    <row r="61" spans="2:7" s="206" customFormat="1" ht="24.75" customHeight="1" thickBot="1">
      <c r="B61" s="206" t="s">
        <v>221</v>
      </c>
      <c r="G61" s="209">
        <f>E66</f>
        <v>2</v>
      </c>
    </row>
    <row r="62" spans="2:6" s="206" customFormat="1" ht="34.5" customHeight="1">
      <c r="B62" s="317" t="s">
        <v>268</v>
      </c>
      <c r="C62" s="318" t="str">
        <f>B54</f>
        <v>GENAP 2017/2018</v>
      </c>
      <c r="D62" s="318" t="str">
        <f>B55</f>
        <v>GANJIL 2018/2019</v>
      </c>
      <c r="E62" s="319" t="s">
        <v>42</v>
      </c>
      <c r="F62" s="320" t="s">
        <v>21</v>
      </c>
    </row>
    <row r="63" spans="2:8" s="206" customFormat="1" ht="24.75" customHeight="1">
      <c r="B63" s="203" t="s">
        <v>99</v>
      </c>
      <c r="C63" s="215">
        <v>0</v>
      </c>
      <c r="D63" s="215">
        <v>0</v>
      </c>
      <c r="E63" s="270">
        <f>G63+H63</f>
        <v>0</v>
      </c>
      <c r="F63" s="292">
        <f>IF(E63&gt;=1,(E63*2),0)</f>
        <v>0</v>
      </c>
      <c r="G63" s="297">
        <f aca="true" t="shared" si="2" ref="G63:H65">IF(C63&gt;=1,1,0)</f>
        <v>0</v>
      </c>
      <c r="H63" s="239">
        <f t="shared" si="2"/>
        <v>0</v>
      </c>
    </row>
    <row r="64" spans="2:10" s="206" customFormat="1" ht="24.75" customHeight="1">
      <c r="B64" s="203" t="s">
        <v>100</v>
      </c>
      <c r="C64" s="215">
        <v>0</v>
      </c>
      <c r="D64" s="215">
        <v>0</v>
      </c>
      <c r="E64" s="270">
        <f>G64+H64</f>
        <v>0</v>
      </c>
      <c r="F64" s="292">
        <f>E64*1</f>
        <v>0</v>
      </c>
      <c r="G64" s="297">
        <f t="shared" si="2"/>
        <v>0</v>
      </c>
      <c r="H64" s="239">
        <f t="shared" si="2"/>
        <v>0</v>
      </c>
      <c r="I64" s="206">
        <v>50</v>
      </c>
      <c r="J64" s="206" t="s">
        <v>166</v>
      </c>
    </row>
    <row r="65" spans="2:8" s="206" customFormat="1" ht="24.75" customHeight="1">
      <c r="B65" s="203" t="s">
        <v>101</v>
      </c>
      <c r="C65" s="215">
        <v>1</v>
      </c>
      <c r="D65" s="215">
        <v>1</v>
      </c>
      <c r="E65" s="270">
        <f>G65+H65</f>
        <v>2</v>
      </c>
      <c r="F65" s="292">
        <f>E65*1</f>
        <v>2</v>
      </c>
      <c r="G65" s="297">
        <f t="shared" si="2"/>
        <v>1</v>
      </c>
      <c r="H65" s="239">
        <f t="shared" si="2"/>
        <v>1</v>
      </c>
    </row>
    <row r="66" spans="2:8" s="206" customFormat="1" ht="24.75" customHeight="1" thickBot="1">
      <c r="B66" s="327" t="s">
        <v>42</v>
      </c>
      <c r="C66" s="272">
        <f aca="true" t="shared" si="3" ref="C66:H66">SUM(C63:C65)</f>
        <v>1</v>
      </c>
      <c r="D66" s="272">
        <f t="shared" si="3"/>
        <v>1</v>
      </c>
      <c r="E66" s="272">
        <f t="shared" si="3"/>
        <v>2</v>
      </c>
      <c r="F66" s="273">
        <f t="shared" si="3"/>
        <v>2</v>
      </c>
      <c r="G66" s="297">
        <f t="shared" si="3"/>
        <v>1</v>
      </c>
      <c r="H66" s="239">
        <f t="shared" si="3"/>
        <v>1</v>
      </c>
    </row>
    <row r="67" s="206" customFormat="1" ht="24.75" customHeight="1">
      <c r="B67" s="206" t="s">
        <v>98</v>
      </c>
    </row>
    <row r="68" s="206" customFormat="1" ht="24.75" customHeight="1">
      <c r="B68" s="240" t="s">
        <v>159</v>
      </c>
    </row>
    <row r="69" s="206" customFormat="1" ht="24.75" customHeight="1"/>
    <row r="70" spans="1:8" s="206" customFormat="1" ht="24.75" customHeight="1">
      <c r="A70" s="136">
        <v>4</v>
      </c>
      <c r="B70" s="138" t="s">
        <v>230</v>
      </c>
      <c r="C70" s="137"/>
      <c r="D70" s="137"/>
      <c r="E70" s="137"/>
      <c r="F70" s="137"/>
      <c r="G70" s="227">
        <f>F97+G97</f>
        <v>4</v>
      </c>
      <c r="H70" s="206" t="s">
        <v>21</v>
      </c>
    </row>
    <row r="71" spans="2:7" s="206" customFormat="1" ht="24.75" customHeight="1">
      <c r="B71" s="246" t="s">
        <v>220</v>
      </c>
      <c r="C71" s="246"/>
      <c r="D71" s="246"/>
      <c r="E71" s="246"/>
      <c r="F71" s="246"/>
      <c r="G71" s="247">
        <f>C97+D97</f>
        <v>8</v>
      </c>
    </row>
    <row r="72" spans="2:11" s="206" customFormat="1" ht="24.75" customHeight="1" thickBot="1">
      <c r="B72" s="206" t="s">
        <v>102</v>
      </c>
      <c r="D72" s="124"/>
      <c r="H72" s="248"/>
      <c r="I72" s="249"/>
      <c r="J72" s="249"/>
      <c r="K72" s="249"/>
    </row>
    <row r="73" spans="2:11" s="206" customFormat="1" ht="24.75" customHeight="1">
      <c r="B73" s="496" t="s">
        <v>103</v>
      </c>
      <c r="C73" s="489" t="s">
        <v>104</v>
      </c>
      <c r="D73" s="489"/>
      <c r="E73" s="498" t="s">
        <v>107</v>
      </c>
      <c r="F73" s="489" t="s">
        <v>21</v>
      </c>
      <c r="G73" s="490"/>
      <c r="H73" s="248"/>
      <c r="I73" s="249"/>
      <c r="J73" s="249"/>
      <c r="K73" s="249"/>
    </row>
    <row r="74" spans="2:11" s="206" customFormat="1" ht="49.5" customHeight="1">
      <c r="B74" s="497"/>
      <c r="C74" s="250" t="s">
        <v>105</v>
      </c>
      <c r="D74" s="250" t="s">
        <v>106</v>
      </c>
      <c r="E74" s="499"/>
      <c r="F74" s="315" t="s">
        <v>271</v>
      </c>
      <c r="G74" s="316" t="s">
        <v>270</v>
      </c>
      <c r="K74" s="206">
        <f>D77/0.5</f>
        <v>0</v>
      </c>
    </row>
    <row r="75" spans="2:11" s="206" customFormat="1" ht="24.75" customHeight="1">
      <c r="B75" s="344" t="str">
        <f>B54</f>
        <v>GENAP 2017/2018</v>
      </c>
      <c r="C75" s="345" t="s">
        <v>267</v>
      </c>
      <c r="D75" s="345" t="s">
        <v>267</v>
      </c>
      <c r="E75" s="335"/>
      <c r="F75" s="335"/>
      <c r="G75" s="336"/>
      <c r="H75" s="209" t="s">
        <v>190</v>
      </c>
      <c r="I75" s="209"/>
      <c r="J75" s="209"/>
      <c r="K75" s="209"/>
    </row>
    <row r="76" spans="2:11" s="206" customFormat="1" ht="24.75" customHeight="1">
      <c r="B76" s="251" t="s">
        <v>264</v>
      </c>
      <c r="C76" s="189"/>
      <c r="D76" s="189"/>
      <c r="E76" s="189"/>
      <c r="F76" s="188"/>
      <c r="G76" s="252"/>
      <c r="H76" s="209"/>
      <c r="I76" s="209"/>
      <c r="J76" s="209"/>
      <c r="K76" s="209"/>
    </row>
    <row r="77" spans="2:11" s="206" customFormat="1" ht="24.75" customHeight="1">
      <c r="B77" s="217"/>
      <c r="C77" s="215">
        <v>0</v>
      </c>
      <c r="D77" s="215"/>
      <c r="E77" s="270">
        <f>D77</f>
        <v>0</v>
      </c>
      <c r="F77" s="253">
        <f>IF(C77&gt;0,(C77*1),0)</f>
        <v>0</v>
      </c>
      <c r="G77" s="254">
        <f>IF(C77&gt;0,0,D77*(0.5/1))</f>
        <v>0</v>
      </c>
      <c r="H77" s="255">
        <f>IF(C77&gt;0,(C77*1),0)</f>
        <v>0</v>
      </c>
      <c r="I77" s="208">
        <f>(C85+D85)*2</f>
        <v>2</v>
      </c>
      <c r="J77" s="256" t="s">
        <v>189</v>
      </c>
      <c r="K77" s="257">
        <f>IF(C77&gt;0,0,D77)</f>
        <v>0</v>
      </c>
    </row>
    <row r="78" spans="2:11" s="206" customFormat="1" ht="24.75" customHeight="1">
      <c r="B78" s="217" t="s">
        <v>319</v>
      </c>
      <c r="C78" s="244"/>
      <c r="D78" s="215">
        <v>1</v>
      </c>
      <c r="E78" s="270">
        <f>D78</f>
        <v>1</v>
      </c>
      <c r="F78" s="258">
        <f>C78*1</f>
        <v>0</v>
      </c>
      <c r="G78" s="254">
        <f>IF(C78&gt;0,0,D78*(0.5/1))</f>
        <v>0.5</v>
      </c>
      <c r="H78" s="255">
        <f>IF(C78&gt;0,C78,0)</f>
        <v>0</v>
      </c>
      <c r="K78" s="257">
        <f>IF(C78&gt;0,0,D78)</f>
        <v>1</v>
      </c>
    </row>
    <row r="79" spans="2:11" s="206" customFormat="1" ht="24.75" customHeight="1">
      <c r="B79" s="251" t="s">
        <v>265</v>
      </c>
      <c r="C79" s="189"/>
      <c r="D79" s="189"/>
      <c r="E79" s="189"/>
      <c r="F79" s="188"/>
      <c r="G79" s="252"/>
      <c r="H79" s="209"/>
      <c r="I79" s="209"/>
      <c r="J79" s="209"/>
      <c r="K79" s="209"/>
    </row>
    <row r="80" spans="2:11" s="206" customFormat="1" ht="24.75" customHeight="1">
      <c r="B80" s="217"/>
      <c r="C80" s="215"/>
      <c r="D80" s="215"/>
      <c r="E80" s="270">
        <f>D80</f>
        <v>0</v>
      </c>
      <c r="F80" s="253">
        <f>IF(C80&gt;0,(C80*3),0)</f>
        <v>0</v>
      </c>
      <c r="G80" s="254">
        <f>IF(C80&gt;0,0,(D80*2))</f>
        <v>0</v>
      </c>
      <c r="H80" s="255">
        <f>IF(C80&gt;0,C80,0)</f>
        <v>0</v>
      </c>
      <c r="I80" s="259"/>
      <c r="J80" s="260"/>
      <c r="K80" s="257">
        <f>IF(C80&gt;0,0,D80)</f>
        <v>0</v>
      </c>
    </row>
    <row r="81" spans="2:11" s="206" customFormat="1" ht="24.75" customHeight="1">
      <c r="B81" s="217"/>
      <c r="C81" s="244"/>
      <c r="D81" s="215"/>
      <c r="E81" s="270">
        <f>D81</f>
        <v>0</v>
      </c>
      <c r="F81" s="258">
        <f>C81*1</f>
        <v>0</v>
      </c>
      <c r="G81" s="254">
        <f>IF(C81&gt;0,0,(D81*2))</f>
        <v>0</v>
      </c>
      <c r="H81" s="255">
        <f>IF(C81&gt;0,C81,0)</f>
        <v>0</v>
      </c>
      <c r="I81" s="261"/>
      <c r="J81" s="261"/>
      <c r="K81" s="257">
        <f>IF(C81&gt;0,0,D81)</f>
        <v>0</v>
      </c>
    </row>
    <row r="82" spans="2:11" s="206" customFormat="1" ht="24.75" customHeight="1">
      <c r="B82" s="251" t="s">
        <v>263</v>
      </c>
      <c r="C82" s="189"/>
      <c r="D82" s="189"/>
      <c r="E82" s="189"/>
      <c r="F82" s="188"/>
      <c r="G82" s="252"/>
      <c r="H82" s="209"/>
      <c r="I82" s="259"/>
      <c r="J82" s="259"/>
      <c r="K82" s="209"/>
    </row>
    <row r="83" spans="2:11" s="206" customFormat="1" ht="24.75" customHeight="1">
      <c r="B83" s="217"/>
      <c r="C83" s="215"/>
      <c r="D83" s="215"/>
      <c r="E83" s="270">
        <f>D83</f>
        <v>0</v>
      </c>
      <c r="F83" s="253">
        <f>IF(C83&gt;0,(C83*8),0)</f>
        <v>0</v>
      </c>
      <c r="G83" s="254">
        <f>IF(C83&gt;0,0,(D83*6))</f>
        <v>0</v>
      </c>
      <c r="H83" s="255">
        <f>IF(C83&gt;0,C83,0)</f>
        <v>0</v>
      </c>
      <c r="I83" s="259"/>
      <c r="J83" s="260"/>
      <c r="K83" s="257">
        <f>IF(C83&gt;0,0,D83)</f>
        <v>0</v>
      </c>
    </row>
    <row r="84" spans="2:11" s="206" customFormat="1" ht="24.75" customHeight="1">
      <c r="B84" s="217"/>
      <c r="C84" s="244"/>
      <c r="D84" s="215"/>
      <c r="E84" s="270">
        <f>D84</f>
        <v>0</v>
      </c>
      <c r="F84" s="258">
        <f>C84*1</f>
        <v>0</v>
      </c>
      <c r="G84" s="254">
        <f>IF(C84&gt;0,0,(D84*6))</f>
        <v>0</v>
      </c>
      <c r="H84" s="255">
        <f>IF(C84&gt;0,C84,0)</f>
        <v>0</v>
      </c>
      <c r="K84" s="257">
        <f>IF(C84&gt;0,0,D84)</f>
        <v>0</v>
      </c>
    </row>
    <row r="85" spans="2:11" s="206" customFormat="1" ht="24.75" customHeight="1">
      <c r="B85" s="341" t="s">
        <v>226</v>
      </c>
      <c r="C85" s="338">
        <f>H85</f>
        <v>0</v>
      </c>
      <c r="D85" s="339">
        <f>K85</f>
        <v>1</v>
      </c>
      <c r="E85" s="339">
        <f>SUM(E77:E84)</f>
        <v>1</v>
      </c>
      <c r="F85" s="339">
        <f>SUM(F77:F84)</f>
        <v>0</v>
      </c>
      <c r="G85" s="340">
        <f>SUM(G77:G84)</f>
        <v>0.5</v>
      </c>
      <c r="H85" s="262">
        <f>SUM(H77:H84)</f>
        <v>0</v>
      </c>
      <c r="K85" s="263">
        <f>SUM(K77:K84)</f>
        <v>1</v>
      </c>
    </row>
    <row r="86" spans="2:11" s="206" customFormat="1" ht="24.75" customHeight="1">
      <c r="B86" s="344" t="str">
        <f>B55</f>
        <v>GANJIL 2018/2019</v>
      </c>
      <c r="C86" s="345" t="s">
        <v>267</v>
      </c>
      <c r="D86" s="345" t="s">
        <v>267</v>
      </c>
      <c r="E86" s="334"/>
      <c r="F86" s="334"/>
      <c r="G86" s="337"/>
      <c r="H86" s="255" t="str">
        <f>IF(C86&gt;0,C86,0)</f>
        <v>JML MHS</v>
      </c>
      <c r="I86" s="259"/>
      <c r="K86" s="257"/>
    </row>
    <row r="87" spans="2:11" s="206" customFormat="1" ht="24.75" customHeight="1">
      <c r="B87" s="251" t="s">
        <v>264</v>
      </c>
      <c r="C87" s="189"/>
      <c r="D87" s="189"/>
      <c r="E87" s="189"/>
      <c r="F87" s="188"/>
      <c r="G87" s="252"/>
      <c r="H87" s="209"/>
      <c r="I87" s="209"/>
      <c r="J87" s="209"/>
      <c r="K87" s="209"/>
    </row>
    <row r="88" spans="2:11" s="206" customFormat="1" ht="24.75" customHeight="1">
      <c r="B88" s="217"/>
      <c r="C88" s="215">
        <v>0</v>
      </c>
      <c r="D88" s="215"/>
      <c r="E88" s="270">
        <f>D88</f>
        <v>0</v>
      </c>
      <c r="F88" s="253">
        <f>IF(C88&gt;0,(C88*1),0)</f>
        <v>0</v>
      </c>
      <c r="G88" s="254">
        <f>IF(C88&gt;0,0,D88*(0.5/1))</f>
        <v>0</v>
      </c>
      <c r="H88" s="255">
        <f>IF(C88&gt;0,(C88*1),0)</f>
        <v>0</v>
      </c>
      <c r="I88" s="208">
        <f>(C96+D96)*2</f>
        <v>14</v>
      </c>
      <c r="J88" s="256" t="s">
        <v>189</v>
      </c>
      <c r="K88" s="257">
        <f>IF(C88&gt;0,0,D88)</f>
        <v>0</v>
      </c>
    </row>
    <row r="89" spans="2:11" s="206" customFormat="1" ht="24.75" customHeight="1">
      <c r="B89" s="217"/>
      <c r="C89" s="244"/>
      <c r="D89" s="215">
        <v>7</v>
      </c>
      <c r="E89" s="270">
        <f>D89</f>
        <v>7</v>
      </c>
      <c r="F89" s="258">
        <f>C89*1</f>
        <v>0</v>
      </c>
      <c r="G89" s="254">
        <f>IF(C89&gt;0,0,D89*(0.5/1))</f>
        <v>3.5</v>
      </c>
      <c r="H89" s="255">
        <f>IF(C89&gt;0,C89,0)</f>
        <v>0</v>
      </c>
      <c r="K89" s="257">
        <f>IF(C89&gt;0,0,D89)</f>
        <v>7</v>
      </c>
    </row>
    <row r="90" spans="2:11" s="206" customFormat="1" ht="24.75" customHeight="1">
      <c r="B90" s="251" t="s">
        <v>265</v>
      </c>
      <c r="C90" s="189"/>
      <c r="D90" s="189"/>
      <c r="E90" s="189"/>
      <c r="F90" s="188"/>
      <c r="G90" s="252"/>
      <c r="H90" s="209"/>
      <c r="I90" s="209"/>
      <c r="J90" s="209"/>
      <c r="K90" s="209"/>
    </row>
    <row r="91" spans="2:11" s="206" customFormat="1" ht="24.75" customHeight="1">
      <c r="B91" s="217"/>
      <c r="C91" s="215"/>
      <c r="D91" s="215"/>
      <c r="E91" s="270">
        <f>D91</f>
        <v>0</v>
      </c>
      <c r="F91" s="253">
        <f>IF(C91&gt;0,(C91*3),0)</f>
        <v>0</v>
      </c>
      <c r="G91" s="254">
        <f>IF(C91&gt;0,0,(D91*2))</f>
        <v>0</v>
      </c>
      <c r="H91" s="255">
        <f>IF(C91&gt;0,C91,0)</f>
        <v>0</v>
      </c>
      <c r="I91" s="259"/>
      <c r="J91" s="260"/>
      <c r="K91" s="257">
        <f>IF(C91&gt;0,0,D91)</f>
        <v>0</v>
      </c>
    </row>
    <row r="92" spans="2:11" s="206" customFormat="1" ht="24.75" customHeight="1">
      <c r="B92" s="217"/>
      <c r="C92" s="244"/>
      <c r="D92" s="215"/>
      <c r="E92" s="270">
        <f>D92</f>
        <v>0</v>
      </c>
      <c r="F92" s="258">
        <f>C92*1</f>
        <v>0</v>
      </c>
      <c r="G92" s="254">
        <f>IF(C92&gt;0,0,(D92*2))</f>
        <v>0</v>
      </c>
      <c r="H92" s="255">
        <f>IF(C92&gt;0,C92,0)</f>
        <v>0</v>
      </c>
      <c r="I92" s="261"/>
      <c r="J92" s="261"/>
      <c r="K92" s="257">
        <f>IF(C92&gt;0,0,D92)</f>
        <v>0</v>
      </c>
    </row>
    <row r="93" spans="2:11" s="206" customFormat="1" ht="24.75" customHeight="1">
      <c r="B93" s="251" t="s">
        <v>263</v>
      </c>
      <c r="C93" s="189"/>
      <c r="D93" s="189"/>
      <c r="E93" s="189"/>
      <c r="F93" s="188"/>
      <c r="G93" s="252"/>
      <c r="H93" s="209"/>
      <c r="I93" s="259"/>
      <c r="J93" s="259"/>
      <c r="K93" s="209"/>
    </row>
    <row r="94" spans="2:11" s="206" customFormat="1" ht="24.75" customHeight="1">
      <c r="B94" s="217"/>
      <c r="C94" s="215"/>
      <c r="D94" s="215"/>
      <c r="E94" s="270">
        <f>D94</f>
        <v>0</v>
      </c>
      <c r="F94" s="253">
        <f>IF(C94&gt;0,(C94*8),0)</f>
        <v>0</v>
      </c>
      <c r="G94" s="254">
        <f>IF(C94&gt;0,0,(D94*6))</f>
        <v>0</v>
      </c>
      <c r="H94" s="255">
        <f>IF(C94&gt;0,C94,0)</f>
        <v>0</v>
      </c>
      <c r="I94" s="259"/>
      <c r="J94" s="260"/>
      <c r="K94" s="257">
        <f>IF(C94&gt;0,0,D94)</f>
        <v>0</v>
      </c>
    </row>
    <row r="95" spans="2:11" s="206" customFormat="1" ht="24.75" customHeight="1">
      <c r="B95" s="217"/>
      <c r="C95" s="244"/>
      <c r="D95" s="215"/>
      <c r="E95" s="270">
        <f>D95</f>
        <v>0</v>
      </c>
      <c r="F95" s="258">
        <f>C95*1</f>
        <v>0</v>
      </c>
      <c r="G95" s="254">
        <f>IF(C95&gt;0,0,(D95*6))</f>
        <v>0</v>
      </c>
      <c r="H95" s="255">
        <f>IF(C95&gt;0,C95,0)</f>
        <v>0</v>
      </c>
      <c r="K95" s="257">
        <f>IF(C95&gt;0,0,D95)</f>
        <v>0</v>
      </c>
    </row>
    <row r="96" spans="2:11" s="206" customFormat="1" ht="24.75" customHeight="1">
      <c r="B96" s="341" t="s">
        <v>227</v>
      </c>
      <c r="C96" s="338">
        <f>H96</f>
        <v>0</v>
      </c>
      <c r="D96" s="339">
        <f>K96</f>
        <v>7</v>
      </c>
      <c r="E96" s="339">
        <f>SUM(E88:E95)</f>
        <v>7</v>
      </c>
      <c r="F96" s="339">
        <f>SUM(F88:F95)</f>
        <v>0</v>
      </c>
      <c r="G96" s="340">
        <f>SUM(G88:G95)</f>
        <v>3.5</v>
      </c>
      <c r="H96" s="262">
        <f>SUM(H88:H95)</f>
        <v>0</v>
      </c>
      <c r="K96" s="263">
        <f>SUM(K88:K95)</f>
        <v>7</v>
      </c>
    </row>
    <row r="97" spans="2:11" s="206" customFormat="1" ht="24.75" customHeight="1">
      <c r="B97" s="342" t="s">
        <v>266</v>
      </c>
      <c r="C97" s="300">
        <f aca="true" t="shared" si="4" ref="C97:H97">C85+C96</f>
        <v>0</v>
      </c>
      <c r="D97" s="300">
        <f t="shared" si="4"/>
        <v>8</v>
      </c>
      <c r="E97" s="300">
        <f t="shared" si="4"/>
        <v>8</v>
      </c>
      <c r="F97" s="300">
        <f t="shared" si="4"/>
        <v>0</v>
      </c>
      <c r="G97" s="301">
        <f t="shared" si="4"/>
        <v>4</v>
      </c>
      <c r="H97" s="262">
        <f t="shared" si="4"/>
        <v>0</v>
      </c>
      <c r="K97" s="263">
        <f>K85+K96</f>
        <v>8</v>
      </c>
    </row>
    <row r="98" s="206" customFormat="1" ht="24.75" customHeight="1"/>
    <row r="99" s="206" customFormat="1" ht="24.75" customHeight="1"/>
    <row r="100" s="206" customFormat="1" ht="24.75" customHeight="1">
      <c r="E100" s="285"/>
    </row>
    <row r="101" spans="1:7" s="206" customFormat="1" ht="24.75" customHeight="1">
      <c r="A101" s="136">
        <v>5</v>
      </c>
      <c r="B101" s="378" t="s">
        <v>219</v>
      </c>
      <c r="C101" s="137"/>
      <c r="D101" s="137"/>
      <c r="E101" s="137"/>
      <c r="F101" s="266" t="s">
        <v>231</v>
      </c>
      <c r="G101" s="113">
        <f>F117+G117</f>
        <v>6</v>
      </c>
    </row>
    <row r="102" spans="2:7" s="206" customFormat="1" ht="24.75" customHeight="1" thickBot="1">
      <c r="B102" s="206" t="s">
        <v>221</v>
      </c>
      <c r="G102" s="122">
        <f>H117+K117</f>
        <v>6</v>
      </c>
    </row>
    <row r="103" spans="2:7" s="206" customFormat="1" ht="24.75" customHeight="1">
      <c r="B103" s="496" t="s">
        <v>103</v>
      </c>
      <c r="C103" s="489" t="s">
        <v>108</v>
      </c>
      <c r="D103" s="489"/>
      <c r="E103" s="498" t="s">
        <v>111</v>
      </c>
      <c r="F103" s="489" t="s">
        <v>21</v>
      </c>
      <c r="G103" s="490"/>
    </row>
    <row r="104" spans="2:7" s="206" customFormat="1" ht="24.75" customHeight="1">
      <c r="B104" s="497"/>
      <c r="C104" s="250" t="s">
        <v>109</v>
      </c>
      <c r="D104" s="250" t="s">
        <v>110</v>
      </c>
      <c r="E104" s="499"/>
      <c r="F104" s="391" t="s">
        <v>112</v>
      </c>
      <c r="G104" s="316" t="s">
        <v>113</v>
      </c>
    </row>
    <row r="105" spans="2:8" s="206" customFormat="1" ht="24.75" customHeight="1">
      <c r="B105" s="343" t="str">
        <f>B75</f>
        <v>GENAP 2017/2018</v>
      </c>
      <c r="C105" s="348" t="s">
        <v>267</v>
      </c>
      <c r="D105" s="348" t="s">
        <v>267</v>
      </c>
      <c r="E105" s="346"/>
      <c r="F105" s="346"/>
      <c r="G105" s="347"/>
      <c r="H105" s="206" t="s">
        <v>191</v>
      </c>
    </row>
    <row r="106" spans="2:11" s="206" customFormat="1" ht="24.75" customHeight="1">
      <c r="B106" s="217"/>
      <c r="C106" s="215">
        <v>3</v>
      </c>
      <c r="D106" s="267"/>
      <c r="E106" s="190">
        <f>D106</f>
        <v>0</v>
      </c>
      <c r="F106" s="302">
        <f>IF(C106&gt;0,C106,C106)</f>
        <v>3</v>
      </c>
      <c r="G106" s="191">
        <f>IF(C106&gt;0,0,D106*(0.5/1))</f>
        <v>0</v>
      </c>
      <c r="H106" s="268">
        <f>IF(C106&gt;0,C106,0)</f>
        <v>3</v>
      </c>
      <c r="I106" s="208">
        <f>(C110+D110)*1</f>
        <v>3</v>
      </c>
      <c r="J106" s="206" t="s">
        <v>189</v>
      </c>
      <c r="K106" s="268">
        <f>IF(C106&gt;0,0,D106)</f>
        <v>0</v>
      </c>
    </row>
    <row r="107" spans="2:11" s="206" customFormat="1" ht="24.75" customHeight="1">
      <c r="B107" s="217" t="s">
        <v>319</v>
      </c>
      <c r="C107" s="215"/>
      <c r="D107" s="215">
        <v>0</v>
      </c>
      <c r="E107" s="190">
        <f>D107</f>
        <v>0</v>
      </c>
      <c r="F107" s="302">
        <f aca="true" t="shared" si="5" ref="F107:F114">IF(C107&gt;0,C107,C107)</f>
        <v>0</v>
      </c>
      <c r="G107" s="191">
        <f>IF(C107&gt;0,0,D107*(0.5/1))</f>
        <v>0</v>
      </c>
      <c r="H107" s="268">
        <f aca="true" t="shared" si="6" ref="H107:H114">IF(C107&gt;0,C107,0)</f>
        <v>0</v>
      </c>
      <c r="I107" s="209"/>
      <c r="K107" s="268">
        <f aca="true" t="shared" si="7" ref="K107:K114">IF(C107&gt;0,0,D107)</f>
        <v>0</v>
      </c>
    </row>
    <row r="108" spans="2:11" s="206" customFormat="1" ht="24.75" customHeight="1">
      <c r="B108" s="217"/>
      <c r="C108" s="215"/>
      <c r="D108" s="215"/>
      <c r="E108" s="190">
        <f>D108</f>
        <v>0</v>
      </c>
      <c r="F108" s="302">
        <f t="shared" si="5"/>
        <v>0</v>
      </c>
      <c r="G108" s="191">
        <f>IF(C108&gt;0,0,D108*(0.5/1))</f>
        <v>0</v>
      </c>
      <c r="H108" s="268">
        <f t="shared" si="6"/>
        <v>0</v>
      </c>
      <c r="I108" s="269">
        <f>1*(D116+C116)</f>
        <v>3</v>
      </c>
      <c r="J108" s="206" t="s">
        <v>189</v>
      </c>
      <c r="K108" s="268">
        <f t="shared" si="7"/>
        <v>0</v>
      </c>
    </row>
    <row r="109" spans="2:11" s="206" customFormat="1" ht="24.75" customHeight="1">
      <c r="B109" s="217"/>
      <c r="C109" s="215"/>
      <c r="D109" s="215"/>
      <c r="E109" s="190">
        <f>D109</f>
        <v>0</v>
      </c>
      <c r="F109" s="302">
        <f>IF(C109&gt;0,C109,C109)</f>
        <v>0</v>
      </c>
      <c r="G109" s="191">
        <f>IF(C109&gt;0,0,D109*(0.5/1))</f>
        <v>0</v>
      </c>
      <c r="H109" s="268">
        <f>IF(C109&gt;0,C109,0)</f>
        <v>0</v>
      </c>
      <c r="I109" s="259"/>
      <c r="J109" s="261"/>
      <c r="K109" s="268">
        <f>IF(C109&gt;0,0,D109)</f>
        <v>0</v>
      </c>
    </row>
    <row r="110" spans="2:11" s="206" customFormat="1" ht="24.75" customHeight="1">
      <c r="B110" s="354" t="s">
        <v>226</v>
      </c>
      <c r="C110" s="351">
        <f aca="true" t="shared" si="8" ref="C110:H110">SUM(C106:C109)</f>
        <v>3</v>
      </c>
      <c r="D110" s="351">
        <f t="shared" si="8"/>
        <v>0</v>
      </c>
      <c r="E110" s="351">
        <f t="shared" si="8"/>
        <v>0</v>
      </c>
      <c r="F110" s="352">
        <f t="shared" si="8"/>
        <v>3</v>
      </c>
      <c r="G110" s="353">
        <f t="shared" si="8"/>
        <v>0</v>
      </c>
      <c r="H110" s="271">
        <f t="shared" si="8"/>
        <v>3</v>
      </c>
      <c r="I110" s="259"/>
      <c r="J110" s="261"/>
      <c r="K110" s="271">
        <f>SUM(K106:K109)</f>
        <v>0</v>
      </c>
    </row>
    <row r="111" spans="2:11" s="206" customFormat="1" ht="24.75" customHeight="1">
      <c r="B111" s="343" t="str">
        <f>B86</f>
        <v>GANJIL 2018/2019</v>
      </c>
      <c r="C111" s="348" t="s">
        <v>267</v>
      </c>
      <c r="D111" s="348" t="s">
        <v>267</v>
      </c>
      <c r="E111" s="348"/>
      <c r="F111" s="349"/>
      <c r="G111" s="350"/>
      <c r="H111" s="268" t="str">
        <f t="shared" si="6"/>
        <v>JML MHS</v>
      </c>
      <c r="K111" s="268">
        <f t="shared" si="7"/>
        <v>0</v>
      </c>
    </row>
    <row r="112" spans="2:11" s="206" customFormat="1" ht="24.75" customHeight="1">
      <c r="B112" s="217"/>
      <c r="C112" s="215">
        <v>3</v>
      </c>
      <c r="D112" s="215"/>
      <c r="E112" s="190">
        <f>+C112</f>
        <v>3</v>
      </c>
      <c r="F112" s="302">
        <f t="shared" si="5"/>
        <v>3</v>
      </c>
      <c r="G112" s="191">
        <f>IF(C112&gt;0,0,D112*(0.5/1))</f>
        <v>0</v>
      </c>
      <c r="H112" s="268">
        <f t="shared" si="6"/>
        <v>3</v>
      </c>
      <c r="K112" s="268">
        <f t="shared" si="7"/>
        <v>0</v>
      </c>
    </row>
    <row r="113" spans="2:11" s="206" customFormat="1" ht="24.75" customHeight="1">
      <c r="B113" s="217" t="s">
        <v>319</v>
      </c>
      <c r="C113" s="215"/>
      <c r="D113" s="215"/>
      <c r="E113" s="190">
        <f>D113</f>
        <v>0</v>
      </c>
      <c r="F113" s="302">
        <f t="shared" si="5"/>
        <v>0</v>
      </c>
      <c r="G113" s="191">
        <f>IF(C113&gt;0,0,D113*(0.5/1))</f>
        <v>0</v>
      </c>
      <c r="H113" s="268">
        <f t="shared" si="6"/>
        <v>0</v>
      </c>
      <c r="K113" s="268">
        <f t="shared" si="7"/>
        <v>0</v>
      </c>
    </row>
    <row r="114" spans="2:11" s="206" customFormat="1" ht="24.75" customHeight="1">
      <c r="B114" s="217"/>
      <c r="C114" s="215"/>
      <c r="D114" s="215"/>
      <c r="E114" s="190">
        <f>D114</f>
        <v>0</v>
      </c>
      <c r="F114" s="302">
        <f t="shared" si="5"/>
        <v>0</v>
      </c>
      <c r="G114" s="191">
        <f>IF(C114&gt;0,0,D114*(0.5/1))</f>
        <v>0</v>
      </c>
      <c r="H114" s="268">
        <f t="shared" si="6"/>
        <v>0</v>
      </c>
      <c r="K114" s="268">
        <f t="shared" si="7"/>
        <v>0</v>
      </c>
    </row>
    <row r="115" spans="2:11" s="206" customFormat="1" ht="24.75" customHeight="1">
      <c r="B115" s="217"/>
      <c r="C115" s="215"/>
      <c r="D115" s="215"/>
      <c r="E115" s="190">
        <f>D115</f>
        <v>0</v>
      </c>
      <c r="F115" s="302">
        <f>IF(C115&gt;0,C115,C115)</f>
        <v>0</v>
      </c>
      <c r="G115" s="191">
        <f>IF(C115&gt;0,0,D115*(0.5/1))</f>
        <v>0</v>
      </c>
      <c r="H115" s="268">
        <f>IF(C115&gt;0,C115,0)</f>
        <v>0</v>
      </c>
      <c r="K115" s="268">
        <f>IF(C115&gt;0,0,D115)</f>
        <v>0</v>
      </c>
    </row>
    <row r="116" spans="2:11" s="206" customFormat="1" ht="24.75" customHeight="1">
      <c r="B116" s="354" t="s">
        <v>227</v>
      </c>
      <c r="C116" s="351">
        <f aca="true" t="shared" si="9" ref="C116:H116">SUM(C112:C115)</f>
        <v>3</v>
      </c>
      <c r="D116" s="351">
        <f t="shared" si="9"/>
        <v>0</v>
      </c>
      <c r="E116" s="351">
        <f t="shared" si="9"/>
        <v>3</v>
      </c>
      <c r="F116" s="352">
        <f t="shared" si="9"/>
        <v>3</v>
      </c>
      <c r="G116" s="353">
        <f t="shared" si="9"/>
        <v>0</v>
      </c>
      <c r="H116" s="271">
        <f t="shared" si="9"/>
        <v>3</v>
      </c>
      <c r="K116" s="271">
        <f>SUM(K112:K115)</f>
        <v>0</v>
      </c>
    </row>
    <row r="117" spans="2:11" s="206" customFormat="1" ht="24.75" customHeight="1" thickBot="1">
      <c r="B117" s="355" t="s">
        <v>266</v>
      </c>
      <c r="C117" s="356">
        <f aca="true" t="shared" si="10" ref="C117:H117">C110+C116</f>
        <v>6</v>
      </c>
      <c r="D117" s="356">
        <f t="shared" si="10"/>
        <v>0</v>
      </c>
      <c r="E117" s="356">
        <f t="shared" si="10"/>
        <v>3</v>
      </c>
      <c r="F117" s="356">
        <f t="shared" si="10"/>
        <v>6</v>
      </c>
      <c r="G117" s="357">
        <f t="shared" si="10"/>
        <v>0</v>
      </c>
      <c r="H117" s="206">
        <f t="shared" si="10"/>
        <v>6</v>
      </c>
      <c r="K117" s="206">
        <f>K110+K116</f>
        <v>0</v>
      </c>
    </row>
    <row r="118" s="206" customFormat="1" ht="24.75" customHeight="1"/>
    <row r="119" s="206" customFormat="1" ht="24.75" customHeight="1"/>
    <row r="120" spans="1:8" s="206" customFormat="1" ht="24.75" customHeight="1">
      <c r="A120" s="136">
        <v>6</v>
      </c>
      <c r="B120" s="138" t="s">
        <v>114</v>
      </c>
      <c r="C120" s="137"/>
      <c r="D120" s="137"/>
      <c r="E120" s="137"/>
      <c r="F120" s="137"/>
      <c r="G120" s="212">
        <f>F126</f>
        <v>6</v>
      </c>
      <c r="H120" s="206" t="s">
        <v>21</v>
      </c>
    </row>
    <row r="121" spans="1:7" s="261" customFormat="1" ht="24.75" customHeight="1">
      <c r="A121" s="145"/>
      <c r="B121" s="146" t="s">
        <v>233</v>
      </c>
      <c r="C121" s="146"/>
      <c r="D121" s="146"/>
      <c r="E121" s="146"/>
      <c r="F121" s="146"/>
      <c r="G121" s="274">
        <f>E126</f>
        <v>3</v>
      </c>
    </row>
    <row r="122" s="206" customFormat="1" ht="24.75" customHeight="1">
      <c r="B122" s="206" t="s">
        <v>149</v>
      </c>
    </row>
    <row r="123" s="206" customFormat="1" ht="24.75" customHeight="1" thickBot="1"/>
    <row r="124" spans="2:6" s="206" customFormat="1" ht="49.5" customHeight="1">
      <c r="B124" s="305" t="s">
        <v>297</v>
      </c>
      <c r="C124" s="306" t="str">
        <f>B105</f>
        <v>GENAP 2017/2018</v>
      </c>
      <c r="D124" s="306" t="str">
        <f>B111</f>
        <v>GANJIL 2018/2019</v>
      </c>
      <c r="E124" s="313" t="s">
        <v>42</v>
      </c>
      <c r="F124" s="307" t="s">
        <v>115</v>
      </c>
    </row>
    <row r="125" spans="2:6" s="206" customFormat="1" ht="24.75" customHeight="1">
      <c r="B125" s="217"/>
      <c r="C125" s="244"/>
      <c r="D125" s="244"/>
      <c r="E125" s="244"/>
      <c r="F125" s="275"/>
    </row>
    <row r="126" spans="2:6" s="206" customFormat="1" ht="24.75" customHeight="1">
      <c r="B126" s="217" t="s">
        <v>298</v>
      </c>
      <c r="C126" s="276">
        <v>1</v>
      </c>
      <c r="D126" s="276">
        <v>2</v>
      </c>
      <c r="E126" s="303">
        <f>SUM(C126:D126)</f>
        <v>3</v>
      </c>
      <c r="F126" s="298">
        <f>E126*2</f>
        <v>6</v>
      </c>
    </row>
    <row r="127" spans="2:6" s="206" customFormat="1" ht="24.75" customHeight="1" thickBot="1">
      <c r="B127" s="192"/>
      <c r="C127" s="245"/>
      <c r="D127" s="245"/>
      <c r="E127" s="245"/>
      <c r="F127" s="277"/>
    </row>
    <row r="128" s="206" customFormat="1" ht="24.75" customHeight="1">
      <c r="B128" s="392" t="s">
        <v>98</v>
      </c>
    </row>
    <row r="129" s="206" customFormat="1" ht="24.75" customHeight="1"/>
    <row r="130" spans="1:7" s="206" customFormat="1" ht="24.75" customHeight="1">
      <c r="A130" s="136">
        <v>7</v>
      </c>
      <c r="B130" s="377" t="s">
        <v>116</v>
      </c>
      <c r="C130" s="137"/>
      <c r="D130" s="137"/>
      <c r="E130" s="137"/>
      <c r="F130" s="137"/>
      <c r="G130" s="212">
        <f>D162</f>
        <v>0</v>
      </c>
    </row>
    <row r="131" spans="2:7" s="206" customFormat="1" ht="24.75" customHeight="1">
      <c r="B131" s="206" t="s">
        <v>232</v>
      </c>
      <c r="G131" s="209">
        <f>C162</f>
        <v>0</v>
      </c>
    </row>
    <row r="132" s="206" customFormat="1" ht="24.75" customHeight="1" thickBot="1">
      <c r="B132" s="124" t="str">
        <f>B105</f>
        <v>GENAP 2017/2018</v>
      </c>
    </row>
    <row r="133" spans="2:5" s="206" customFormat="1" ht="34.5" customHeight="1">
      <c r="B133" s="308" t="s">
        <v>117</v>
      </c>
      <c r="C133" s="309" t="s">
        <v>119</v>
      </c>
      <c r="D133" s="309" t="s">
        <v>120</v>
      </c>
      <c r="E133" s="310" t="s">
        <v>85</v>
      </c>
    </row>
    <row r="134" spans="2:5" s="206" customFormat="1" ht="24.75" customHeight="1">
      <c r="B134" s="204" t="s">
        <v>118</v>
      </c>
      <c r="C134" s="215"/>
      <c r="D134" s="270">
        <v>20</v>
      </c>
      <c r="E134" s="292">
        <f>C134*D134</f>
        <v>0</v>
      </c>
    </row>
    <row r="135" spans="2:5" s="206" customFormat="1" ht="24.75" customHeight="1">
      <c r="B135" s="204" t="s">
        <v>121</v>
      </c>
      <c r="C135" s="215"/>
      <c r="D135" s="270">
        <v>5</v>
      </c>
      <c r="E135" s="292">
        <f aca="true" t="shared" si="11" ref="E135:E141">C135*D135</f>
        <v>0</v>
      </c>
    </row>
    <row r="136" spans="2:10" s="206" customFormat="1" ht="24.75" customHeight="1">
      <c r="B136" s="204" t="s">
        <v>122</v>
      </c>
      <c r="C136" s="215"/>
      <c r="D136" s="270">
        <v>5</v>
      </c>
      <c r="E136" s="292">
        <f t="shared" si="11"/>
        <v>0</v>
      </c>
      <c r="I136" s="278">
        <f>10*C143</f>
        <v>0</v>
      </c>
      <c r="J136" s="206" t="s">
        <v>165</v>
      </c>
    </row>
    <row r="137" spans="2:5" s="206" customFormat="1" ht="24.75" customHeight="1">
      <c r="B137" s="204" t="s">
        <v>123</v>
      </c>
      <c r="C137" s="215"/>
      <c r="D137" s="270">
        <v>5</v>
      </c>
      <c r="E137" s="292">
        <f t="shared" si="11"/>
        <v>0</v>
      </c>
    </row>
    <row r="138" spans="2:5" s="206" customFormat="1" ht="24.75" customHeight="1">
      <c r="B138" s="204" t="s">
        <v>124</v>
      </c>
      <c r="C138" s="215"/>
      <c r="D138" s="270">
        <v>5</v>
      </c>
      <c r="E138" s="292">
        <f t="shared" si="11"/>
        <v>0</v>
      </c>
    </row>
    <row r="139" spans="2:5" s="206" customFormat="1" ht="24.75" customHeight="1">
      <c r="B139" s="204" t="s">
        <v>125</v>
      </c>
      <c r="C139" s="215"/>
      <c r="D139" s="270">
        <v>5</v>
      </c>
      <c r="E139" s="292">
        <f t="shared" si="11"/>
        <v>0</v>
      </c>
    </row>
    <row r="140" spans="2:5" s="206" customFormat="1" ht="24.75" customHeight="1">
      <c r="B140" s="204" t="s">
        <v>126</v>
      </c>
      <c r="C140" s="215"/>
      <c r="D140" s="270">
        <v>5</v>
      </c>
      <c r="E140" s="292">
        <f t="shared" si="11"/>
        <v>0</v>
      </c>
    </row>
    <row r="141" spans="2:5" s="206" customFormat="1" ht="24.75" customHeight="1">
      <c r="B141" s="204" t="s">
        <v>127</v>
      </c>
      <c r="C141" s="215"/>
      <c r="D141" s="270">
        <v>5</v>
      </c>
      <c r="E141" s="292">
        <f t="shared" si="11"/>
        <v>0</v>
      </c>
    </row>
    <row r="142" spans="2:5" s="206" customFormat="1" ht="24.75" customHeight="1">
      <c r="B142" s="204"/>
      <c r="C142" s="215"/>
      <c r="D142" s="264"/>
      <c r="E142" s="265"/>
    </row>
    <row r="143" spans="2:5" s="206" customFormat="1" ht="24.75" customHeight="1" thickBot="1">
      <c r="B143" s="358" t="s">
        <v>42</v>
      </c>
      <c r="C143" s="359">
        <f>SUM(C134:C141)</f>
        <v>0</v>
      </c>
      <c r="D143" s="360"/>
      <c r="E143" s="361">
        <f>SUM(E134:E141)</f>
        <v>0</v>
      </c>
    </row>
    <row r="144" s="206" customFormat="1" ht="24.75" customHeight="1"/>
    <row r="145" s="206" customFormat="1" ht="24.75" customHeight="1" thickBot="1">
      <c r="B145" s="124" t="str">
        <f>B111</f>
        <v>GANJIL 2018/2019</v>
      </c>
    </row>
    <row r="146" spans="2:5" s="206" customFormat="1" ht="34.5" customHeight="1">
      <c r="B146" s="305" t="s">
        <v>117</v>
      </c>
      <c r="C146" s="306" t="s">
        <v>119</v>
      </c>
      <c r="D146" s="306" t="s">
        <v>120</v>
      </c>
      <c r="E146" s="307" t="s">
        <v>85</v>
      </c>
    </row>
    <row r="147" spans="2:5" s="206" customFormat="1" ht="24.75" customHeight="1">
      <c r="B147" s="204" t="s">
        <v>118</v>
      </c>
      <c r="C147" s="215"/>
      <c r="D147" s="270">
        <v>20</v>
      </c>
      <c r="E147" s="292">
        <f>C147*D147</f>
        <v>0</v>
      </c>
    </row>
    <row r="148" spans="2:5" s="206" customFormat="1" ht="24.75" customHeight="1">
      <c r="B148" s="204" t="s">
        <v>121</v>
      </c>
      <c r="C148" s="215"/>
      <c r="D148" s="270">
        <v>5</v>
      </c>
      <c r="E148" s="292">
        <f aca="true" t="shared" si="12" ref="E148:E154">C148*D148</f>
        <v>0</v>
      </c>
    </row>
    <row r="149" spans="2:10" s="206" customFormat="1" ht="24.75" customHeight="1">
      <c r="B149" s="204" t="s">
        <v>122</v>
      </c>
      <c r="C149" s="215"/>
      <c r="D149" s="270">
        <v>5</v>
      </c>
      <c r="E149" s="292">
        <f t="shared" si="12"/>
        <v>0</v>
      </c>
      <c r="I149" s="279">
        <f>10*C156</f>
        <v>0</v>
      </c>
      <c r="J149" s="206" t="s">
        <v>165</v>
      </c>
    </row>
    <row r="150" spans="2:5" s="206" customFormat="1" ht="24.75" customHeight="1">
      <c r="B150" s="204" t="s">
        <v>123</v>
      </c>
      <c r="C150" s="215"/>
      <c r="D150" s="270">
        <v>5</v>
      </c>
      <c r="E150" s="292">
        <f t="shared" si="12"/>
        <v>0</v>
      </c>
    </row>
    <row r="151" spans="2:5" s="206" customFormat="1" ht="24.75" customHeight="1">
      <c r="B151" s="204" t="s">
        <v>124</v>
      </c>
      <c r="C151" s="215"/>
      <c r="D151" s="270">
        <v>5</v>
      </c>
      <c r="E151" s="292">
        <f t="shared" si="12"/>
        <v>0</v>
      </c>
    </row>
    <row r="152" spans="2:5" s="206" customFormat="1" ht="24.75" customHeight="1">
      <c r="B152" s="204" t="s">
        <v>125</v>
      </c>
      <c r="C152" s="215"/>
      <c r="D152" s="270">
        <v>5</v>
      </c>
      <c r="E152" s="292">
        <f t="shared" si="12"/>
        <v>0</v>
      </c>
    </row>
    <row r="153" spans="2:5" s="206" customFormat="1" ht="24.75" customHeight="1">
      <c r="B153" s="204" t="s">
        <v>126</v>
      </c>
      <c r="C153" s="215"/>
      <c r="D153" s="270">
        <v>5</v>
      </c>
      <c r="E153" s="292">
        <f t="shared" si="12"/>
        <v>0</v>
      </c>
    </row>
    <row r="154" spans="2:5" s="206" customFormat="1" ht="24.75" customHeight="1">
      <c r="B154" s="204" t="s">
        <v>127</v>
      </c>
      <c r="C154" s="215"/>
      <c r="D154" s="270">
        <v>5</v>
      </c>
      <c r="E154" s="292">
        <f t="shared" si="12"/>
        <v>0</v>
      </c>
    </row>
    <row r="155" spans="2:5" s="206" customFormat="1" ht="24.75" customHeight="1">
      <c r="B155" s="204"/>
      <c r="C155" s="215"/>
      <c r="D155" s="264"/>
      <c r="E155" s="265"/>
    </row>
    <row r="156" spans="2:5" s="206" customFormat="1" ht="24.75" customHeight="1" thickBot="1">
      <c r="B156" s="358" t="s">
        <v>42</v>
      </c>
      <c r="C156" s="359">
        <f>SUM(C147:C154)</f>
        <v>0</v>
      </c>
      <c r="D156" s="360"/>
      <c r="E156" s="304">
        <f>SUM(E147:E154)</f>
        <v>0</v>
      </c>
    </row>
    <row r="157" s="206" customFormat="1" ht="24.75" customHeight="1"/>
    <row r="158" s="206" customFormat="1" ht="24.75" customHeight="1" thickBot="1">
      <c r="B158" s="124" t="s">
        <v>89</v>
      </c>
    </row>
    <row r="159" spans="2:4" s="206" customFormat="1" ht="24.75" customHeight="1">
      <c r="B159" s="308" t="s">
        <v>269</v>
      </c>
      <c r="C159" s="311" t="s">
        <v>192</v>
      </c>
      <c r="D159" s="312" t="s">
        <v>21</v>
      </c>
    </row>
    <row r="160" spans="2:4" s="206" customFormat="1" ht="24.75" customHeight="1">
      <c r="B160" s="204" t="str">
        <f>B132</f>
        <v>GENAP 2017/2018</v>
      </c>
      <c r="C160" s="270">
        <f>C143</f>
        <v>0</v>
      </c>
      <c r="D160" s="292">
        <f>E143</f>
        <v>0</v>
      </c>
    </row>
    <row r="161" spans="2:4" s="206" customFormat="1" ht="24.75" customHeight="1">
      <c r="B161" s="204" t="str">
        <f>B145</f>
        <v>GANJIL 2018/2019</v>
      </c>
      <c r="C161" s="270">
        <f>C156</f>
        <v>0</v>
      </c>
      <c r="D161" s="292">
        <f>E156</f>
        <v>0</v>
      </c>
    </row>
    <row r="162" spans="2:4" s="206" customFormat="1" ht="24.75" customHeight="1" thickBot="1">
      <c r="B162" s="358" t="s">
        <v>42</v>
      </c>
      <c r="C162" s="359">
        <f>SUM(C160:C161)</f>
        <v>0</v>
      </c>
      <c r="D162" s="361">
        <f>SUM(D160:D161)</f>
        <v>0</v>
      </c>
    </row>
    <row r="163" s="206" customFormat="1" ht="24.75" customHeight="1">
      <c r="B163" s="124"/>
    </row>
    <row r="164" s="206" customFormat="1" ht="24.75" customHeight="1">
      <c r="B164" s="124" t="s">
        <v>328</v>
      </c>
    </row>
    <row r="165" s="206" customFormat="1" ht="24.75" customHeight="1">
      <c r="B165" s="206" t="s">
        <v>336</v>
      </c>
    </row>
    <row r="166" s="206" customFormat="1" ht="24.75" customHeight="1"/>
    <row r="167" spans="8:11" s="206" customFormat="1" ht="24.75" customHeight="1">
      <c r="H167" s="280"/>
      <c r="I167" s="280"/>
      <c r="J167" s="280"/>
      <c r="K167" s="280"/>
    </row>
    <row r="168" spans="1:11" s="206" customFormat="1" ht="24.75" customHeight="1">
      <c r="A168" s="281"/>
      <c r="B168" s="376" t="s">
        <v>130</v>
      </c>
      <c r="C168" s="281"/>
      <c r="D168" s="281"/>
      <c r="E168" s="281"/>
      <c r="F168" s="281"/>
      <c r="G168" s="281"/>
      <c r="H168" s="282"/>
      <c r="I168" s="282"/>
      <c r="J168" s="282"/>
      <c r="K168" s="282"/>
    </row>
    <row r="169" spans="8:11" s="206" customFormat="1" ht="24.75" customHeight="1">
      <c r="H169" s="283"/>
      <c r="I169" s="283"/>
      <c r="J169" s="283"/>
      <c r="K169" s="283"/>
    </row>
    <row r="170" spans="1:8" s="206" customFormat="1" ht="24.75" customHeight="1">
      <c r="A170" s="284">
        <v>1</v>
      </c>
      <c r="B170" s="147" t="s">
        <v>131</v>
      </c>
      <c r="C170" s="147"/>
      <c r="D170" s="147"/>
      <c r="E170" s="147"/>
      <c r="F170" s="147"/>
      <c r="G170" s="212">
        <f>E192</f>
        <v>36</v>
      </c>
      <c r="H170" s="206" t="s">
        <v>21</v>
      </c>
    </row>
    <row r="171" spans="2:8" s="206" customFormat="1" ht="24.75" customHeight="1">
      <c r="B171" s="206" t="s">
        <v>234</v>
      </c>
      <c r="G171" s="209">
        <f>C192</f>
        <v>3</v>
      </c>
      <c r="H171" s="206" t="s">
        <v>236</v>
      </c>
    </row>
    <row r="172" s="206" customFormat="1" ht="24.75" customHeight="1" thickBot="1">
      <c r="B172" s="124" t="s">
        <v>273</v>
      </c>
    </row>
    <row r="173" spans="2:5" s="206" customFormat="1" ht="34.5" customHeight="1">
      <c r="B173" s="308" t="s">
        <v>134</v>
      </c>
      <c r="C173" s="309" t="s">
        <v>42</v>
      </c>
      <c r="D173" s="381" t="s">
        <v>274</v>
      </c>
      <c r="E173" s="310" t="s">
        <v>85</v>
      </c>
    </row>
    <row r="174" spans="2:5" s="206" customFormat="1" ht="24.75" customHeight="1">
      <c r="B174" s="204" t="s">
        <v>132</v>
      </c>
      <c r="C174" s="215"/>
      <c r="D174" s="270">
        <v>20</v>
      </c>
      <c r="E174" s="292">
        <f>C174*D174</f>
        <v>0</v>
      </c>
    </row>
    <row r="175" spans="2:5" s="206" customFormat="1" ht="24.75" customHeight="1">
      <c r="B175" s="204" t="s">
        <v>133</v>
      </c>
      <c r="C175" s="215"/>
      <c r="D175" s="270">
        <v>40</v>
      </c>
      <c r="E175" s="292">
        <f aca="true" t="shared" si="13" ref="E175:E183">C175*D175</f>
        <v>0</v>
      </c>
    </row>
    <row r="176" spans="2:5" s="206" customFormat="1" ht="24.75" customHeight="1">
      <c r="B176" s="204" t="s">
        <v>140</v>
      </c>
      <c r="C176" s="215"/>
      <c r="D176" s="270">
        <v>40</v>
      </c>
      <c r="E176" s="292">
        <f t="shared" si="13"/>
        <v>0</v>
      </c>
    </row>
    <row r="177" spans="2:5" s="206" customFormat="1" ht="24.75" customHeight="1">
      <c r="B177" s="204" t="s">
        <v>141</v>
      </c>
      <c r="C177" s="215"/>
      <c r="D177" s="270">
        <v>25</v>
      </c>
      <c r="E177" s="292">
        <f t="shared" si="13"/>
        <v>0</v>
      </c>
    </row>
    <row r="178" spans="2:5" s="206" customFormat="1" ht="24.75" customHeight="1">
      <c r="B178" s="204" t="s">
        <v>142</v>
      </c>
      <c r="C178" s="215">
        <v>1.8</v>
      </c>
      <c r="D178" s="270">
        <v>10</v>
      </c>
      <c r="E178" s="292">
        <f t="shared" si="13"/>
        <v>18</v>
      </c>
    </row>
    <row r="179" spans="2:10" s="206" customFormat="1" ht="24.75" customHeight="1">
      <c r="B179" s="204" t="s">
        <v>138</v>
      </c>
      <c r="C179" s="215">
        <v>1.2</v>
      </c>
      <c r="D179" s="270">
        <v>15</v>
      </c>
      <c r="E179" s="292">
        <f t="shared" si="13"/>
        <v>18</v>
      </c>
      <c r="I179" s="208">
        <f>10*C192</f>
        <v>30</v>
      </c>
      <c r="J179" s="206" t="s">
        <v>165</v>
      </c>
    </row>
    <row r="180" spans="2:5" s="206" customFormat="1" ht="24.75" customHeight="1">
      <c r="B180" s="204" t="s">
        <v>139</v>
      </c>
      <c r="C180" s="215"/>
      <c r="D180" s="270">
        <v>10</v>
      </c>
      <c r="E180" s="292">
        <f t="shared" si="13"/>
        <v>0</v>
      </c>
    </row>
    <row r="181" spans="2:5" s="206" customFormat="1" ht="24.75" customHeight="1">
      <c r="B181" s="204" t="s">
        <v>135</v>
      </c>
      <c r="C181" s="215"/>
      <c r="D181" s="270">
        <v>10</v>
      </c>
      <c r="E181" s="292">
        <f t="shared" si="13"/>
        <v>0</v>
      </c>
    </row>
    <row r="182" spans="2:5" s="206" customFormat="1" ht="24.75" customHeight="1">
      <c r="B182" s="204" t="s">
        <v>136</v>
      </c>
      <c r="C182" s="215"/>
      <c r="D182" s="270">
        <v>5</v>
      </c>
      <c r="E182" s="292">
        <f t="shared" si="13"/>
        <v>0</v>
      </c>
    </row>
    <row r="183" spans="2:5" s="206" customFormat="1" ht="24.75" customHeight="1">
      <c r="B183" s="204" t="s">
        <v>137</v>
      </c>
      <c r="C183" s="215"/>
      <c r="D183" s="270">
        <v>1</v>
      </c>
      <c r="E183" s="292">
        <f t="shared" si="13"/>
        <v>0</v>
      </c>
    </row>
    <row r="184" spans="2:5" s="206" customFormat="1" ht="30">
      <c r="B184" s="363" t="s">
        <v>275</v>
      </c>
      <c r="C184" s="215"/>
      <c r="D184" s="270">
        <v>2</v>
      </c>
      <c r="E184" s="292">
        <f aca="true" t="shared" si="14" ref="E184:E191">C184*D184</f>
        <v>0</v>
      </c>
    </row>
    <row r="185" spans="2:5" s="206" customFormat="1" ht="30">
      <c r="B185" s="363" t="s">
        <v>277</v>
      </c>
      <c r="C185" s="215"/>
      <c r="D185" s="270">
        <v>15</v>
      </c>
      <c r="E185" s="292">
        <f t="shared" si="14"/>
        <v>0</v>
      </c>
    </row>
    <row r="186" spans="2:5" s="206" customFormat="1" ht="30">
      <c r="B186" s="363" t="s">
        <v>276</v>
      </c>
      <c r="C186" s="215"/>
      <c r="D186" s="270">
        <v>10</v>
      </c>
      <c r="E186" s="292">
        <f t="shared" si="14"/>
        <v>0</v>
      </c>
    </row>
    <row r="187" spans="2:5" s="206" customFormat="1" ht="30">
      <c r="B187" s="363" t="s">
        <v>278</v>
      </c>
      <c r="C187" s="215"/>
      <c r="D187" s="270">
        <v>60</v>
      </c>
      <c r="E187" s="292">
        <f t="shared" si="14"/>
        <v>0</v>
      </c>
    </row>
    <row r="188" spans="2:5" s="206" customFormat="1" ht="30">
      <c r="B188" s="363" t="s">
        <v>279</v>
      </c>
      <c r="C188" s="215"/>
      <c r="D188" s="270">
        <v>40</v>
      </c>
      <c r="E188" s="292">
        <f t="shared" si="14"/>
        <v>0</v>
      </c>
    </row>
    <row r="189" spans="2:5" s="206" customFormat="1" ht="45">
      <c r="B189" s="363" t="s">
        <v>280</v>
      </c>
      <c r="C189" s="215"/>
      <c r="D189" s="270">
        <v>20</v>
      </c>
      <c r="E189" s="292">
        <f t="shared" si="14"/>
        <v>0</v>
      </c>
    </row>
    <row r="190" spans="2:5" s="206" customFormat="1" ht="45">
      <c r="B190" s="363" t="s">
        <v>281</v>
      </c>
      <c r="C190" s="215"/>
      <c r="D190" s="270">
        <v>15</v>
      </c>
      <c r="E190" s="292">
        <f t="shared" si="14"/>
        <v>0</v>
      </c>
    </row>
    <row r="191" spans="2:5" s="206" customFormat="1" ht="45">
      <c r="B191" s="363" t="s">
        <v>282</v>
      </c>
      <c r="C191" s="215"/>
      <c r="D191" s="270">
        <v>10</v>
      </c>
      <c r="E191" s="292">
        <f t="shared" si="14"/>
        <v>0</v>
      </c>
    </row>
    <row r="192" spans="2:5" s="206" customFormat="1" ht="24.75" customHeight="1" thickBot="1">
      <c r="B192" s="358" t="s">
        <v>42</v>
      </c>
      <c r="C192" s="359">
        <f>SUM(C174:C191)</f>
        <v>3</v>
      </c>
      <c r="D192" s="360"/>
      <c r="E192" s="361">
        <f>SUM(E174:E191)</f>
        <v>36</v>
      </c>
    </row>
    <row r="193" s="206" customFormat="1" ht="24.75" customHeight="1"/>
    <row r="194" s="206" customFormat="1" ht="24.75" customHeight="1">
      <c r="B194" s="124" t="s">
        <v>328</v>
      </c>
    </row>
    <row r="195" spans="1:3" s="206" customFormat="1" ht="110.25">
      <c r="A195" s="206">
        <v>1</v>
      </c>
      <c r="B195" s="466" t="s">
        <v>345</v>
      </c>
      <c r="C195" s="467" t="s">
        <v>348</v>
      </c>
    </row>
    <row r="196" spans="1:3" s="206" customFormat="1" ht="78.75">
      <c r="A196" s="206">
        <v>2</v>
      </c>
      <c r="B196" s="466" t="s">
        <v>346</v>
      </c>
      <c r="C196" s="467" t="s">
        <v>348</v>
      </c>
    </row>
    <row r="197" spans="1:3" s="206" customFormat="1" ht="78.75">
      <c r="A197" s="206">
        <v>3</v>
      </c>
      <c r="B197" s="466" t="s">
        <v>347</v>
      </c>
      <c r="C197" s="467" t="s">
        <v>348</v>
      </c>
    </row>
    <row r="198" spans="1:3" s="206" customFormat="1" ht="110.25">
      <c r="A198" s="206">
        <v>4</v>
      </c>
      <c r="B198" s="466" t="s">
        <v>349</v>
      </c>
      <c r="C198" s="468" t="s">
        <v>351</v>
      </c>
    </row>
    <row r="199" spans="1:3" s="206" customFormat="1" ht="110.25">
      <c r="A199" s="206">
        <v>5</v>
      </c>
      <c r="B199" s="466" t="s">
        <v>350</v>
      </c>
      <c r="C199" s="468" t="s">
        <v>351</v>
      </c>
    </row>
    <row r="200" spans="2:37" s="206" customFormat="1" ht="29.25" customHeight="1">
      <c r="B200" s="417"/>
      <c r="C200" s="417"/>
      <c r="D200" s="417"/>
      <c r="E200" s="417"/>
      <c r="F200" s="417"/>
      <c r="G200" s="417"/>
      <c r="H200" s="417"/>
      <c r="I200" s="417"/>
      <c r="J200" s="417"/>
      <c r="K200" s="417"/>
      <c r="L200" s="417"/>
      <c r="M200" s="417"/>
      <c r="N200" s="417"/>
      <c r="O200" s="417"/>
      <c r="P200" s="417"/>
      <c r="Q200" s="417"/>
      <c r="R200" s="417"/>
      <c r="S200" s="417"/>
      <c r="T200" s="417"/>
      <c r="U200" s="417"/>
      <c r="V200" s="417"/>
      <c r="W200" s="417"/>
      <c r="X200" s="417"/>
      <c r="Y200" s="417"/>
      <c r="Z200" s="417"/>
      <c r="AA200" s="417"/>
      <c r="AB200" s="417"/>
      <c r="AC200" s="417"/>
      <c r="AD200" s="417"/>
      <c r="AE200" s="417"/>
      <c r="AF200" s="417"/>
      <c r="AG200" s="417"/>
      <c r="AH200" s="417"/>
      <c r="AI200" s="417"/>
      <c r="AJ200" s="417"/>
      <c r="AK200" s="417"/>
    </row>
    <row r="201" s="206" customFormat="1" ht="24.75" customHeight="1"/>
    <row r="202" spans="1:7" s="206" customFormat="1" ht="24.75" customHeight="1">
      <c r="A202" s="281"/>
      <c r="B202" s="376" t="s">
        <v>143</v>
      </c>
      <c r="C202" s="281"/>
      <c r="D202" s="281"/>
      <c r="E202" s="281"/>
      <c r="F202" s="281"/>
      <c r="G202" s="281"/>
    </row>
    <row r="203" s="206" customFormat="1" ht="24.75" customHeight="1"/>
    <row r="204" spans="1:8" s="206" customFormat="1" ht="24.75" customHeight="1">
      <c r="A204" s="284">
        <v>1</v>
      </c>
      <c r="B204" s="147" t="s">
        <v>293</v>
      </c>
      <c r="C204" s="147"/>
      <c r="D204" s="147"/>
      <c r="E204" s="147"/>
      <c r="F204" s="147"/>
      <c r="G204" s="212">
        <f>E228</f>
        <v>10</v>
      </c>
      <c r="H204" s="206" t="s">
        <v>21</v>
      </c>
    </row>
    <row r="205" spans="2:8" s="206" customFormat="1" ht="24.75" customHeight="1" thickBot="1">
      <c r="B205" s="206" t="s">
        <v>234</v>
      </c>
      <c r="G205" s="209">
        <f>C228</f>
        <v>6</v>
      </c>
      <c r="H205" s="206" t="s">
        <v>235</v>
      </c>
    </row>
    <row r="206" spans="2:5" s="206" customFormat="1" ht="34.5" customHeight="1">
      <c r="B206" s="308" t="s">
        <v>272</v>
      </c>
      <c r="C206" s="309" t="s">
        <v>147</v>
      </c>
      <c r="D206" s="309" t="s">
        <v>148</v>
      </c>
      <c r="E206" s="310" t="s">
        <v>85</v>
      </c>
    </row>
    <row r="207" spans="2:5" s="206" customFormat="1" ht="24.75" customHeight="1">
      <c r="B207" s="395" t="s">
        <v>144</v>
      </c>
      <c r="C207" s="398"/>
      <c r="D207" s="398"/>
      <c r="E207" s="399"/>
    </row>
    <row r="208" spans="1:5" s="206" customFormat="1" ht="49.5" customHeight="1">
      <c r="A208" s="400">
        <f>C208</f>
        <v>0</v>
      </c>
      <c r="B208" s="364" t="s">
        <v>286</v>
      </c>
      <c r="C208" s="215"/>
      <c r="D208" s="270">
        <v>4</v>
      </c>
      <c r="E208" s="292">
        <f>C208*D208</f>
        <v>0</v>
      </c>
    </row>
    <row r="209" spans="1:5" s="206" customFormat="1" ht="49.5" customHeight="1">
      <c r="A209" s="400">
        <f>C209</f>
        <v>0</v>
      </c>
      <c r="B209" s="363" t="s">
        <v>287</v>
      </c>
      <c r="C209" s="215"/>
      <c r="D209" s="270">
        <v>3</v>
      </c>
      <c r="E209" s="292">
        <f>C209*D209</f>
        <v>0</v>
      </c>
    </row>
    <row r="210" spans="1:5" s="206" customFormat="1" ht="45">
      <c r="A210" s="400">
        <f>C210</f>
        <v>0</v>
      </c>
      <c r="B210" s="384" t="s">
        <v>288</v>
      </c>
      <c r="C210" s="215"/>
      <c r="D210" s="270">
        <v>2</v>
      </c>
      <c r="E210" s="292">
        <f>C210*D210</f>
        <v>0</v>
      </c>
    </row>
    <row r="211" spans="1:5" s="206" customFormat="1" ht="24.75" customHeight="1">
      <c r="A211" s="285"/>
      <c r="B211" s="385" t="s">
        <v>304</v>
      </c>
      <c r="C211" s="386">
        <f>SUM(C208:C210)</f>
        <v>0</v>
      </c>
      <c r="D211" s="386"/>
      <c r="E211" s="387">
        <f>SUM(E208:E210)</f>
        <v>0</v>
      </c>
    </row>
    <row r="212" spans="1:5" s="206" customFormat="1" ht="24.75" customHeight="1">
      <c r="A212" s="285"/>
      <c r="B212" s="395" t="s">
        <v>145</v>
      </c>
      <c r="C212" s="396"/>
      <c r="D212" s="396"/>
      <c r="E212" s="397"/>
    </row>
    <row r="213" spans="1:5" s="206" customFormat="1" ht="49.5" customHeight="1">
      <c r="A213" s="285">
        <f>C213</f>
        <v>0</v>
      </c>
      <c r="B213" s="364" t="s">
        <v>290</v>
      </c>
      <c r="C213" s="215"/>
      <c r="D213" s="270">
        <v>3</v>
      </c>
      <c r="E213" s="292">
        <f>C213*D213</f>
        <v>0</v>
      </c>
    </row>
    <row r="214" spans="1:5" s="206" customFormat="1" ht="45">
      <c r="A214" s="285">
        <f>C214</f>
        <v>0</v>
      </c>
      <c r="B214" s="363" t="s">
        <v>289</v>
      </c>
      <c r="C214" s="215"/>
      <c r="D214" s="270">
        <v>2</v>
      </c>
      <c r="E214" s="292">
        <f>C214*D214</f>
        <v>0</v>
      </c>
    </row>
    <row r="215" spans="1:5" s="206" customFormat="1" ht="45">
      <c r="A215" s="285">
        <f>C215</f>
        <v>4</v>
      </c>
      <c r="B215" s="384" t="s">
        <v>291</v>
      </c>
      <c r="C215" s="215">
        <v>4</v>
      </c>
      <c r="D215" s="270">
        <v>1</v>
      </c>
      <c r="E215" s="292">
        <f>C215*D215</f>
        <v>4</v>
      </c>
    </row>
    <row r="216" spans="1:5" s="206" customFormat="1" ht="24.75" customHeight="1">
      <c r="A216" s="285">
        <f>C216</f>
        <v>0</v>
      </c>
      <c r="B216" s="204" t="s">
        <v>146</v>
      </c>
      <c r="C216" s="215"/>
      <c r="D216" s="270">
        <v>1</v>
      </c>
      <c r="E216" s="292">
        <f>C216*D216</f>
        <v>0</v>
      </c>
    </row>
    <row r="217" spans="2:5" s="206" customFormat="1" ht="24.75" customHeight="1">
      <c r="B217" s="385" t="s">
        <v>305</v>
      </c>
      <c r="C217" s="386">
        <f>SUM(C213:C216)</f>
        <v>4</v>
      </c>
      <c r="D217" s="386"/>
      <c r="E217" s="387">
        <f>SUM(E213:E216)</f>
        <v>4</v>
      </c>
    </row>
    <row r="218" spans="2:5" s="206" customFormat="1" ht="24.75" customHeight="1" thickBot="1">
      <c r="B218" s="407" t="s">
        <v>306</v>
      </c>
      <c r="C218" s="408">
        <f>C211+C217</f>
        <v>4</v>
      </c>
      <c r="D218" s="408"/>
      <c r="E218" s="409">
        <f>E211+E217</f>
        <v>4</v>
      </c>
    </row>
    <row r="219" s="206" customFormat="1" ht="24.75" customHeight="1" thickBot="1"/>
    <row r="220" spans="2:5" s="206" customFormat="1" ht="34.5" customHeight="1">
      <c r="B220" s="382" t="s">
        <v>272</v>
      </c>
      <c r="C220" s="381" t="s">
        <v>147</v>
      </c>
      <c r="D220" s="381" t="s">
        <v>148</v>
      </c>
      <c r="E220" s="310" t="s">
        <v>85</v>
      </c>
    </row>
    <row r="221" spans="1:5" s="206" customFormat="1" ht="45">
      <c r="A221" s="285">
        <f aca="true" t="shared" si="15" ref="A221:A226">C221</f>
        <v>0</v>
      </c>
      <c r="B221" s="363" t="s">
        <v>283</v>
      </c>
      <c r="C221" s="430"/>
      <c r="D221" s="270">
        <v>5.5</v>
      </c>
      <c r="E221" s="292">
        <f aca="true" t="shared" si="16" ref="E221:E226">C221*D221</f>
        <v>0</v>
      </c>
    </row>
    <row r="222" spans="1:5" s="206" customFormat="1" ht="30">
      <c r="A222" s="285">
        <f t="shared" si="15"/>
        <v>0</v>
      </c>
      <c r="B222" s="363" t="s">
        <v>284</v>
      </c>
      <c r="C222" s="215"/>
      <c r="D222" s="270">
        <v>3</v>
      </c>
      <c r="E222" s="292">
        <f t="shared" si="16"/>
        <v>0</v>
      </c>
    </row>
    <row r="223" spans="1:5" s="206" customFormat="1" ht="60">
      <c r="A223" s="285">
        <f t="shared" si="15"/>
        <v>0</v>
      </c>
      <c r="B223" s="363" t="s">
        <v>311</v>
      </c>
      <c r="C223" s="215"/>
      <c r="D223" s="270">
        <v>1.5</v>
      </c>
      <c r="E223" s="292">
        <f t="shared" si="16"/>
        <v>0</v>
      </c>
    </row>
    <row r="224" spans="1:5" s="206" customFormat="1" ht="60">
      <c r="A224" s="285">
        <f t="shared" si="15"/>
        <v>0</v>
      </c>
      <c r="B224" s="363" t="s">
        <v>312</v>
      </c>
      <c r="C224" s="215"/>
      <c r="D224" s="270">
        <v>1</v>
      </c>
      <c r="E224" s="292">
        <f t="shared" si="16"/>
        <v>0</v>
      </c>
    </row>
    <row r="225" spans="1:5" s="206" customFormat="1" ht="60">
      <c r="A225" s="285">
        <f t="shared" si="15"/>
        <v>0</v>
      </c>
      <c r="B225" s="363" t="s">
        <v>313</v>
      </c>
      <c r="C225" s="215"/>
      <c r="D225" s="270">
        <v>0.5</v>
      </c>
      <c r="E225" s="292">
        <f t="shared" si="16"/>
        <v>0</v>
      </c>
    </row>
    <row r="226" spans="1:5" s="206" customFormat="1" ht="30">
      <c r="A226" s="285">
        <f t="shared" si="15"/>
        <v>2</v>
      </c>
      <c r="B226" s="363" t="s">
        <v>285</v>
      </c>
      <c r="C226" s="215">
        <v>2</v>
      </c>
      <c r="D226" s="270">
        <v>3</v>
      </c>
      <c r="E226" s="292">
        <f t="shared" si="16"/>
        <v>6</v>
      </c>
    </row>
    <row r="227" spans="2:5" s="206" customFormat="1" ht="24.75" customHeight="1">
      <c r="B227" s="388" t="s">
        <v>307</v>
      </c>
      <c r="C227" s="386">
        <f>SUM(C221:C226)</f>
        <v>2</v>
      </c>
      <c r="D227" s="386"/>
      <c r="E227" s="387">
        <f>SUM(E221:E226)</f>
        <v>6</v>
      </c>
    </row>
    <row r="228" spans="2:5" s="206" customFormat="1" ht="24.75" customHeight="1">
      <c r="B228" s="410" t="s">
        <v>292</v>
      </c>
      <c r="C228" s="411">
        <f>C218+C227</f>
        <v>6</v>
      </c>
      <c r="D228" s="411"/>
      <c r="E228" s="412">
        <f>E218+E227</f>
        <v>10</v>
      </c>
    </row>
    <row r="229" s="206" customFormat="1" ht="24.75" customHeight="1"/>
    <row r="230" s="206" customFormat="1" ht="24.75" customHeight="1">
      <c r="B230" s="124" t="s">
        <v>328</v>
      </c>
    </row>
    <row r="231" spans="1:3" s="206" customFormat="1" ht="31.5">
      <c r="A231" s="206">
        <v>1</v>
      </c>
      <c r="B231" s="469" t="s">
        <v>352</v>
      </c>
      <c r="C231" s="470" t="s">
        <v>356</v>
      </c>
    </row>
    <row r="232" spans="1:3" s="206" customFormat="1" ht="47.25">
      <c r="A232" s="206">
        <v>2</v>
      </c>
      <c r="B232" s="469" t="s">
        <v>353</v>
      </c>
      <c r="C232" s="470" t="s">
        <v>356</v>
      </c>
    </row>
    <row r="233" spans="1:3" s="206" customFormat="1" ht="32.25" customHeight="1">
      <c r="A233" s="206">
        <v>3</v>
      </c>
      <c r="B233" s="469" t="s">
        <v>354</v>
      </c>
      <c r="C233" s="470" t="s">
        <v>356</v>
      </c>
    </row>
    <row r="234" spans="1:3" s="206" customFormat="1" ht="32.25" customHeight="1">
      <c r="A234" s="206">
        <v>4</v>
      </c>
      <c r="B234" s="469" t="s">
        <v>355</v>
      </c>
      <c r="C234" s="470" t="s">
        <v>356</v>
      </c>
    </row>
    <row r="235" spans="1:3" s="206" customFormat="1" ht="32.25" customHeight="1">
      <c r="A235" s="206">
        <v>5</v>
      </c>
      <c r="B235" s="471" t="s">
        <v>357</v>
      </c>
      <c r="C235" s="467" t="s">
        <v>356</v>
      </c>
    </row>
    <row r="236" spans="1:3" s="206" customFormat="1" ht="32.25" customHeight="1">
      <c r="A236" s="206">
        <v>6</v>
      </c>
      <c r="B236" s="472" t="s">
        <v>358</v>
      </c>
      <c r="C236" s="467" t="s">
        <v>356</v>
      </c>
    </row>
    <row r="237" s="206" customFormat="1" ht="24.75" customHeight="1"/>
    <row r="238" spans="2:6" s="206" customFormat="1" ht="24.75" customHeight="1">
      <c r="B238" s="124" t="s">
        <v>243</v>
      </c>
      <c r="E238" s="206" t="s">
        <v>239</v>
      </c>
      <c r="F238" s="375">
        <f>D283</f>
        <v>6</v>
      </c>
    </row>
    <row r="239" spans="1:6" s="206" customFormat="1" ht="24.75" customHeight="1" thickBot="1">
      <c r="A239" s="206">
        <v>1</v>
      </c>
      <c r="B239" s="124" t="str">
        <f>B18</f>
        <v>GENAP 2017/2018</v>
      </c>
      <c r="E239" s="206" t="s">
        <v>234</v>
      </c>
      <c r="F239" s="202">
        <f>C283</f>
        <v>2</v>
      </c>
    </row>
    <row r="240" spans="2:6" s="206" customFormat="1" ht="34.5" customHeight="1">
      <c r="B240" s="308" t="s">
        <v>5</v>
      </c>
      <c r="C240" s="309" t="s">
        <v>238</v>
      </c>
      <c r="D240" s="362" t="s">
        <v>238</v>
      </c>
      <c r="E240" s="309" t="s">
        <v>239</v>
      </c>
      <c r="F240" s="310" t="s">
        <v>241</v>
      </c>
    </row>
    <row r="241" spans="1:6" s="206" customFormat="1" ht="24.75" customHeight="1">
      <c r="A241" s="285">
        <f>C241:C256</f>
        <v>0</v>
      </c>
      <c r="B241" s="204" t="s">
        <v>237</v>
      </c>
      <c r="C241" s="215"/>
      <c r="D241" s="369" t="s">
        <v>240</v>
      </c>
      <c r="E241" s="270">
        <v>6</v>
      </c>
      <c r="F241" s="292">
        <f>C241*E241</f>
        <v>0</v>
      </c>
    </row>
    <row r="242" spans="1:6" s="206" customFormat="1" ht="24.75" customHeight="1">
      <c r="A242" s="285">
        <f>C242:C257</f>
        <v>0</v>
      </c>
      <c r="B242" s="204" t="s">
        <v>244</v>
      </c>
      <c r="C242" s="215"/>
      <c r="D242" s="264" t="s">
        <v>240</v>
      </c>
      <c r="E242" s="270">
        <v>5</v>
      </c>
      <c r="F242" s="292">
        <f aca="true" t="shared" si="17" ref="F242:F256">C242*E242</f>
        <v>0</v>
      </c>
    </row>
    <row r="243" spans="1:6" s="206" customFormat="1" ht="24.75" customHeight="1">
      <c r="A243" s="285">
        <f>C243:C257</f>
        <v>0</v>
      </c>
      <c r="B243" s="204" t="s">
        <v>316</v>
      </c>
      <c r="C243" s="215"/>
      <c r="D243" s="264" t="s">
        <v>240</v>
      </c>
      <c r="E243" s="270">
        <v>5</v>
      </c>
      <c r="F243" s="292">
        <f t="shared" si="17"/>
        <v>0</v>
      </c>
    </row>
    <row r="244" spans="1:6" s="206" customFormat="1" ht="24.75" customHeight="1">
      <c r="A244" s="285">
        <f>C244:C257</f>
        <v>0</v>
      </c>
      <c r="B244" s="204" t="s">
        <v>245</v>
      </c>
      <c r="C244" s="215"/>
      <c r="D244" s="264" t="s">
        <v>240</v>
      </c>
      <c r="E244" s="270">
        <v>5</v>
      </c>
      <c r="F244" s="292">
        <f t="shared" si="17"/>
        <v>0</v>
      </c>
    </row>
    <row r="245" spans="1:6" s="206" customFormat="1" ht="24.75" customHeight="1">
      <c r="A245" s="285">
        <f>C245:C257</f>
        <v>0</v>
      </c>
      <c r="B245" s="363" t="s">
        <v>317</v>
      </c>
      <c r="C245" s="215"/>
      <c r="D245" s="264" t="s">
        <v>240</v>
      </c>
      <c r="E245" s="270">
        <v>4</v>
      </c>
      <c r="F245" s="292">
        <f t="shared" si="17"/>
        <v>0</v>
      </c>
    </row>
    <row r="246" spans="1:6" s="206" customFormat="1" ht="24.75" customHeight="1">
      <c r="A246" s="285">
        <f>C246:C252</f>
        <v>0</v>
      </c>
      <c r="B246" s="204" t="s">
        <v>250</v>
      </c>
      <c r="C246" s="215"/>
      <c r="D246" s="264" t="s">
        <v>240</v>
      </c>
      <c r="E246" s="270">
        <v>4</v>
      </c>
      <c r="F246" s="292">
        <f t="shared" si="17"/>
        <v>0</v>
      </c>
    </row>
    <row r="247" spans="1:6" s="206" customFormat="1" ht="24.75" customHeight="1">
      <c r="A247" s="285">
        <f>C247:C257</f>
        <v>0</v>
      </c>
      <c r="B247" s="363" t="s">
        <v>246</v>
      </c>
      <c r="C247" s="215"/>
      <c r="D247" s="264" t="s">
        <v>240</v>
      </c>
      <c r="E247" s="270">
        <v>4</v>
      </c>
      <c r="F247" s="292">
        <f t="shared" si="17"/>
        <v>0</v>
      </c>
    </row>
    <row r="248" spans="1:6" s="206" customFormat="1" ht="24.75" customHeight="1">
      <c r="A248" s="285">
        <f>C248:C256</f>
        <v>0</v>
      </c>
      <c r="B248" s="204" t="s">
        <v>251</v>
      </c>
      <c r="C248" s="215"/>
      <c r="D248" s="264" t="s">
        <v>240</v>
      </c>
      <c r="E248" s="270">
        <v>4</v>
      </c>
      <c r="F248" s="292">
        <f t="shared" si="17"/>
        <v>0</v>
      </c>
    </row>
    <row r="249" spans="1:6" s="206" customFormat="1" ht="24.75" customHeight="1">
      <c r="A249" s="285">
        <f>C249:C257</f>
        <v>0</v>
      </c>
      <c r="B249" s="363" t="s">
        <v>247</v>
      </c>
      <c r="C249" s="215"/>
      <c r="D249" s="264" t="s">
        <v>240</v>
      </c>
      <c r="E249" s="270">
        <v>4</v>
      </c>
      <c r="F249" s="292">
        <f t="shared" si="17"/>
        <v>0</v>
      </c>
    </row>
    <row r="250" spans="1:6" s="206" customFormat="1" ht="24.75" customHeight="1">
      <c r="A250" s="285">
        <f>C250:C257</f>
        <v>0</v>
      </c>
      <c r="B250" s="363" t="s">
        <v>248</v>
      </c>
      <c r="C250" s="215"/>
      <c r="D250" s="264" t="s">
        <v>240</v>
      </c>
      <c r="E250" s="270">
        <v>4</v>
      </c>
      <c r="F250" s="292">
        <f t="shared" si="17"/>
        <v>0</v>
      </c>
    </row>
    <row r="251" spans="1:6" s="206" customFormat="1" ht="24.75" customHeight="1">
      <c r="A251" s="285">
        <f>C251:C257</f>
        <v>0</v>
      </c>
      <c r="B251" s="363" t="s">
        <v>249</v>
      </c>
      <c r="C251" s="215"/>
      <c r="D251" s="264" t="s">
        <v>240</v>
      </c>
      <c r="E251" s="270">
        <v>4</v>
      </c>
      <c r="F251" s="292">
        <f t="shared" si="17"/>
        <v>0</v>
      </c>
    </row>
    <row r="252" spans="1:6" s="206" customFormat="1" ht="24.75" customHeight="1">
      <c r="A252" s="285">
        <f>C252:C257</f>
        <v>0</v>
      </c>
      <c r="B252" s="363" t="s">
        <v>252</v>
      </c>
      <c r="C252" s="215"/>
      <c r="D252" s="264" t="s">
        <v>240</v>
      </c>
      <c r="E252" s="270">
        <v>3</v>
      </c>
      <c r="F252" s="292">
        <f t="shared" si="17"/>
        <v>0</v>
      </c>
    </row>
    <row r="253" spans="1:6" s="206" customFormat="1" ht="30" customHeight="1">
      <c r="A253" s="285">
        <f>C253:C257</f>
        <v>1</v>
      </c>
      <c r="B253" s="363" t="s">
        <v>301</v>
      </c>
      <c r="C253" s="215">
        <v>1</v>
      </c>
      <c r="D253" s="264" t="s">
        <v>240</v>
      </c>
      <c r="E253" s="270">
        <v>3</v>
      </c>
      <c r="F253" s="292">
        <f t="shared" si="17"/>
        <v>3</v>
      </c>
    </row>
    <row r="254" spans="1:6" s="206" customFormat="1" ht="30" customHeight="1">
      <c r="A254" s="285">
        <f>C254:C257</f>
        <v>0</v>
      </c>
      <c r="B254" s="363" t="s">
        <v>253</v>
      </c>
      <c r="C254" s="215"/>
      <c r="D254" s="264" t="s">
        <v>240</v>
      </c>
      <c r="E254" s="270">
        <v>3</v>
      </c>
      <c r="F254" s="292">
        <f t="shared" si="17"/>
        <v>0</v>
      </c>
    </row>
    <row r="255" spans="1:6" s="206" customFormat="1" ht="30" customHeight="1">
      <c r="A255" s="285">
        <f>C255:C257</f>
        <v>0</v>
      </c>
      <c r="B255" s="363" t="s">
        <v>302</v>
      </c>
      <c r="C255" s="215"/>
      <c r="D255" s="264" t="s">
        <v>240</v>
      </c>
      <c r="E255" s="270">
        <v>3</v>
      </c>
      <c r="F255" s="292">
        <f t="shared" si="17"/>
        <v>0</v>
      </c>
    </row>
    <row r="256" spans="1:6" s="206" customFormat="1" ht="30" customHeight="1">
      <c r="A256" s="285">
        <f>C256:C257</f>
        <v>0</v>
      </c>
      <c r="B256" s="364" t="s">
        <v>303</v>
      </c>
      <c r="C256" s="276"/>
      <c r="D256" s="370" t="s">
        <v>240</v>
      </c>
      <c r="E256" s="303">
        <v>3</v>
      </c>
      <c r="F256" s="298">
        <f t="shared" si="17"/>
        <v>0</v>
      </c>
    </row>
    <row r="257" spans="2:6" s="206" customFormat="1" ht="24.75" customHeight="1" thickBot="1">
      <c r="B257" s="365" t="s">
        <v>242</v>
      </c>
      <c r="C257" s="366">
        <f>SUM(C241:C256)</f>
        <v>1</v>
      </c>
      <c r="D257" s="367"/>
      <c r="E257" s="366"/>
      <c r="F257" s="366">
        <f>SUM(F241:F256)</f>
        <v>3</v>
      </c>
    </row>
    <row r="258" s="206" customFormat="1" ht="24.75" customHeight="1"/>
    <row r="259" spans="1:5" s="206" customFormat="1" ht="24.75" customHeight="1" thickBot="1">
      <c r="A259" s="206">
        <v>2</v>
      </c>
      <c r="B259" s="124" t="str">
        <f>B30</f>
        <v>GANJIL 2018/2019</v>
      </c>
      <c r="E259" s="124"/>
    </row>
    <row r="260" spans="2:6" s="206" customFormat="1" ht="34.5" customHeight="1">
      <c r="B260" s="308" t="s">
        <v>5</v>
      </c>
      <c r="C260" s="309" t="s">
        <v>238</v>
      </c>
      <c r="D260" s="362" t="s">
        <v>238</v>
      </c>
      <c r="E260" s="309" t="s">
        <v>239</v>
      </c>
      <c r="F260" s="310" t="s">
        <v>241</v>
      </c>
    </row>
    <row r="261" spans="1:6" s="206" customFormat="1" ht="24.75" customHeight="1">
      <c r="A261" s="285">
        <f>C261:C276</f>
        <v>0</v>
      </c>
      <c r="B261" s="204" t="s">
        <v>237</v>
      </c>
      <c r="C261" s="215"/>
      <c r="D261" s="368" t="s">
        <v>240</v>
      </c>
      <c r="E261" s="270">
        <v>6</v>
      </c>
      <c r="F261" s="292">
        <f>C261*E261</f>
        <v>0</v>
      </c>
    </row>
    <row r="262" spans="1:6" s="206" customFormat="1" ht="24.75" customHeight="1">
      <c r="A262" s="285">
        <f>C262:C277</f>
        <v>0</v>
      </c>
      <c r="B262" s="204" t="s">
        <v>244</v>
      </c>
      <c r="C262" s="215"/>
      <c r="D262" s="368" t="s">
        <v>240</v>
      </c>
      <c r="E262" s="270">
        <v>5</v>
      </c>
      <c r="F262" s="292">
        <f aca="true" t="shared" si="18" ref="F262:F276">C262*E262</f>
        <v>0</v>
      </c>
    </row>
    <row r="263" spans="1:6" s="206" customFormat="1" ht="24.75" customHeight="1">
      <c r="A263" s="285">
        <f>C263:C277</f>
        <v>0</v>
      </c>
      <c r="B263" s="204" t="s">
        <v>316</v>
      </c>
      <c r="C263" s="215"/>
      <c r="D263" s="368" t="s">
        <v>240</v>
      </c>
      <c r="E263" s="270">
        <v>5</v>
      </c>
      <c r="F263" s="292">
        <f t="shared" si="18"/>
        <v>0</v>
      </c>
    </row>
    <row r="264" spans="1:6" s="206" customFormat="1" ht="24.75" customHeight="1">
      <c r="A264" s="285">
        <f>C264:C277</f>
        <v>0</v>
      </c>
      <c r="B264" s="204" t="s">
        <v>245</v>
      </c>
      <c r="C264" s="215"/>
      <c r="D264" s="368" t="s">
        <v>240</v>
      </c>
      <c r="E264" s="270">
        <v>5</v>
      </c>
      <c r="F264" s="292">
        <f t="shared" si="18"/>
        <v>0</v>
      </c>
    </row>
    <row r="265" spans="1:6" s="206" customFormat="1" ht="24.75" customHeight="1">
      <c r="A265" s="285">
        <f>C265:C277</f>
        <v>0</v>
      </c>
      <c r="B265" s="363" t="s">
        <v>317</v>
      </c>
      <c r="C265" s="215"/>
      <c r="D265" s="368" t="s">
        <v>240</v>
      </c>
      <c r="E265" s="270">
        <v>4</v>
      </c>
      <c r="F265" s="292">
        <f t="shared" si="18"/>
        <v>0</v>
      </c>
    </row>
    <row r="266" spans="1:6" s="206" customFormat="1" ht="24.75" customHeight="1">
      <c r="A266" s="285">
        <f>C266:C272</f>
        <v>0</v>
      </c>
      <c r="B266" s="204" t="s">
        <v>250</v>
      </c>
      <c r="C266" s="215"/>
      <c r="D266" s="368" t="s">
        <v>240</v>
      </c>
      <c r="E266" s="270">
        <v>4</v>
      </c>
      <c r="F266" s="292">
        <f t="shared" si="18"/>
        <v>0</v>
      </c>
    </row>
    <row r="267" spans="1:6" s="206" customFormat="1" ht="24.75" customHeight="1">
      <c r="A267" s="285">
        <f>C267:C277</f>
        <v>0</v>
      </c>
      <c r="B267" s="363" t="s">
        <v>246</v>
      </c>
      <c r="C267" s="215"/>
      <c r="D267" s="368" t="s">
        <v>240</v>
      </c>
      <c r="E267" s="270">
        <v>4</v>
      </c>
      <c r="F267" s="292">
        <f t="shared" si="18"/>
        <v>0</v>
      </c>
    </row>
    <row r="268" spans="1:6" s="206" customFormat="1" ht="24.75" customHeight="1">
      <c r="A268" s="285">
        <f>C268:C276</f>
        <v>0</v>
      </c>
      <c r="B268" s="204" t="s">
        <v>251</v>
      </c>
      <c r="C268" s="215"/>
      <c r="D268" s="368" t="s">
        <v>240</v>
      </c>
      <c r="E268" s="270">
        <v>4</v>
      </c>
      <c r="F268" s="292">
        <f t="shared" si="18"/>
        <v>0</v>
      </c>
    </row>
    <row r="269" spans="1:6" s="206" customFormat="1" ht="24.75" customHeight="1">
      <c r="A269" s="285">
        <f>C269:C277</f>
        <v>0</v>
      </c>
      <c r="B269" s="363" t="s">
        <v>247</v>
      </c>
      <c r="C269" s="215"/>
      <c r="D269" s="368" t="s">
        <v>240</v>
      </c>
      <c r="E269" s="270">
        <v>4</v>
      </c>
      <c r="F269" s="292">
        <f t="shared" si="18"/>
        <v>0</v>
      </c>
    </row>
    <row r="270" spans="1:6" s="206" customFormat="1" ht="24.75" customHeight="1">
      <c r="A270" s="285">
        <f>C270:C277</f>
        <v>0</v>
      </c>
      <c r="B270" s="363" t="s">
        <v>248</v>
      </c>
      <c r="C270" s="215"/>
      <c r="D270" s="368" t="s">
        <v>240</v>
      </c>
      <c r="E270" s="270">
        <v>4</v>
      </c>
      <c r="F270" s="292">
        <f t="shared" si="18"/>
        <v>0</v>
      </c>
    </row>
    <row r="271" spans="1:6" s="206" customFormat="1" ht="24.75" customHeight="1">
      <c r="A271" s="285">
        <f>C271:C277</f>
        <v>0</v>
      </c>
      <c r="B271" s="363" t="s">
        <v>249</v>
      </c>
      <c r="C271" s="215"/>
      <c r="D271" s="368" t="s">
        <v>240</v>
      </c>
      <c r="E271" s="270">
        <v>4</v>
      </c>
      <c r="F271" s="292">
        <f t="shared" si="18"/>
        <v>0</v>
      </c>
    </row>
    <row r="272" spans="1:6" s="206" customFormat="1" ht="24.75" customHeight="1">
      <c r="A272" s="285">
        <f>C272:C277</f>
        <v>0</v>
      </c>
      <c r="B272" s="363" t="s">
        <v>252</v>
      </c>
      <c r="C272" s="215"/>
      <c r="D272" s="368" t="s">
        <v>240</v>
      </c>
      <c r="E272" s="270">
        <v>3</v>
      </c>
      <c r="F272" s="292">
        <f t="shared" si="18"/>
        <v>0</v>
      </c>
    </row>
    <row r="273" spans="1:6" s="206" customFormat="1" ht="30" customHeight="1">
      <c r="A273" s="285">
        <f>C273:C277</f>
        <v>1</v>
      </c>
      <c r="B273" s="363" t="s">
        <v>301</v>
      </c>
      <c r="C273" s="215">
        <v>1</v>
      </c>
      <c r="D273" s="368" t="s">
        <v>240</v>
      </c>
      <c r="E273" s="270">
        <v>3</v>
      </c>
      <c r="F273" s="292">
        <f t="shared" si="18"/>
        <v>3</v>
      </c>
    </row>
    <row r="274" spans="1:6" s="206" customFormat="1" ht="30" customHeight="1">
      <c r="A274" s="285">
        <f>C274:C277</f>
        <v>0</v>
      </c>
      <c r="B274" s="363" t="s">
        <v>253</v>
      </c>
      <c r="C274" s="215"/>
      <c r="D274" s="368" t="s">
        <v>240</v>
      </c>
      <c r="E274" s="270">
        <v>3</v>
      </c>
      <c r="F274" s="292">
        <f t="shared" si="18"/>
        <v>0</v>
      </c>
    </row>
    <row r="275" spans="1:6" s="206" customFormat="1" ht="30" customHeight="1">
      <c r="A275" s="285">
        <f>C275:C277</f>
        <v>0</v>
      </c>
      <c r="B275" s="363" t="s">
        <v>302</v>
      </c>
      <c r="C275" s="215"/>
      <c r="D275" s="368" t="s">
        <v>240</v>
      </c>
      <c r="E275" s="270">
        <v>3</v>
      </c>
      <c r="F275" s="292">
        <f t="shared" si="18"/>
        <v>0</v>
      </c>
    </row>
    <row r="276" spans="1:6" s="206" customFormat="1" ht="30" customHeight="1">
      <c r="A276" s="285">
        <f>C276:C277</f>
        <v>0</v>
      </c>
      <c r="B276" s="364" t="s">
        <v>303</v>
      </c>
      <c r="C276" s="215"/>
      <c r="D276" s="368" t="s">
        <v>240</v>
      </c>
      <c r="E276" s="270">
        <v>3</v>
      </c>
      <c r="F276" s="292">
        <f t="shared" si="18"/>
        <v>0</v>
      </c>
    </row>
    <row r="277" spans="2:6" s="206" customFormat="1" ht="24.75" customHeight="1" thickBot="1">
      <c r="B277" s="365" t="s">
        <v>242</v>
      </c>
      <c r="C277" s="366">
        <f>SUM(C261:C276)</f>
        <v>1</v>
      </c>
      <c r="D277" s="367"/>
      <c r="E277" s="366"/>
      <c r="F277" s="366">
        <f>SUM(F261:F276)</f>
        <v>3</v>
      </c>
    </row>
    <row r="278" s="206" customFormat="1" ht="24.75" customHeight="1"/>
    <row r="279" s="206" customFormat="1" ht="24.75" customHeight="1" thickBot="1">
      <c r="B279" s="124" t="s">
        <v>89</v>
      </c>
    </row>
    <row r="280" spans="2:4" s="206" customFormat="1" ht="34.5" customHeight="1">
      <c r="B280" s="371" t="s">
        <v>269</v>
      </c>
      <c r="C280" s="372" t="s">
        <v>238</v>
      </c>
      <c r="D280" s="373" t="s">
        <v>241</v>
      </c>
    </row>
    <row r="281" spans="2:4" s="206" customFormat="1" ht="24.75" customHeight="1">
      <c r="B281" s="204" t="str">
        <f>B239</f>
        <v>GENAP 2017/2018</v>
      </c>
      <c r="C281" s="374">
        <f>C257</f>
        <v>1</v>
      </c>
      <c r="D281" s="292">
        <f>F257</f>
        <v>3</v>
      </c>
    </row>
    <row r="282" spans="2:4" s="206" customFormat="1" ht="24.75" customHeight="1">
      <c r="B282" s="204" t="str">
        <f>B259</f>
        <v>GANJIL 2018/2019</v>
      </c>
      <c r="C282" s="270">
        <f>C277</f>
        <v>1</v>
      </c>
      <c r="D282" s="292">
        <f>F277</f>
        <v>3</v>
      </c>
    </row>
    <row r="283" spans="2:4" s="206" customFormat="1" ht="24.75" customHeight="1" thickBot="1">
      <c r="B283" s="358" t="s">
        <v>42</v>
      </c>
      <c r="C283" s="359">
        <f>SUM(C281:C282)</f>
        <v>2</v>
      </c>
      <c r="D283" s="361">
        <f>SUM(D280:D282)</f>
        <v>6</v>
      </c>
    </row>
    <row r="284" spans="2:4" s="206" customFormat="1" ht="24.75" customHeight="1">
      <c r="B284" s="219"/>
      <c r="C284" s="286"/>
      <c r="D284" s="287"/>
    </row>
    <row r="285" spans="1:7" s="206" customFormat="1" ht="24.75" customHeight="1">
      <c r="A285" s="281"/>
      <c r="B285" s="281" t="s">
        <v>150</v>
      </c>
      <c r="C285" s="281"/>
      <c r="D285" s="281"/>
      <c r="E285" s="424" t="s">
        <v>239</v>
      </c>
      <c r="F285" s="423">
        <f>+E294</f>
        <v>1</v>
      </c>
      <c r="G285" s="281"/>
    </row>
    <row r="286" spans="1:7" s="206" customFormat="1" ht="24.75" customHeight="1">
      <c r="A286" s="280"/>
      <c r="B286" s="280"/>
      <c r="C286" s="280"/>
      <c r="D286" s="280"/>
      <c r="E286" s="124" t="s">
        <v>234</v>
      </c>
      <c r="F286" s="202">
        <f>+C294</f>
        <v>5</v>
      </c>
      <c r="G286" s="280"/>
    </row>
    <row r="287" spans="1:7" s="206" customFormat="1" ht="24.75" customHeight="1" thickBot="1">
      <c r="A287" s="280"/>
      <c r="B287" s="280"/>
      <c r="C287" s="280"/>
      <c r="D287" s="280"/>
      <c r="E287" s="280"/>
      <c r="F287" s="280"/>
      <c r="G287" s="280"/>
    </row>
    <row r="288" spans="1:5" s="206" customFormat="1" ht="24.75" customHeight="1">
      <c r="A288" s="422" t="s">
        <v>318</v>
      </c>
      <c r="B288" s="426" t="s">
        <v>314</v>
      </c>
      <c r="C288" s="418" t="s">
        <v>42</v>
      </c>
      <c r="D288" s="418" t="s">
        <v>21</v>
      </c>
      <c r="E288" s="419" t="s">
        <v>85</v>
      </c>
    </row>
    <row r="289" spans="1:5" s="206" customFormat="1" ht="30">
      <c r="A289" s="420">
        <v>1</v>
      </c>
      <c r="B289" s="427" t="s">
        <v>359</v>
      </c>
      <c r="C289" s="420">
        <v>1</v>
      </c>
      <c r="D289" s="420">
        <v>2</v>
      </c>
      <c r="E289" s="420">
        <f>+D289*C289</f>
        <v>2</v>
      </c>
    </row>
    <row r="290" spans="1:5" s="206" customFormat="1" ht="15">
      <c r="A290" s="420">
        <v>2</v>
      </c>
      <c r="B290" s="428" t="s">
        <v>360</v>
      </c>
      <c r="C290" s="420">
        <v>1</v>
      </c>
      <c r="D290" s="420">
        <v>2</v>
      </c>
      <c r="E290" s="420">
        <f>+D290*C290</f>
        <v>2</v>
      </c>
    </row>
    <row r="291" spans="1:37" s="206" customFormat="1" ht="45">
      <c r="A291" s="420">
        <v>3</v>
      </c>
      <c r="B291" s="428" t="s">
        <v>361</v>
      </c>
      <c r="C291" s="421">
        <v>1</v>
      </c>
      <c r="D291" s="420">
        <v>0.5</v>
      </c>
      <c r="E291" s="420">
        <f>+D291*C291</f>
        <v>0.5</v>
      </c>
      <c r="F291" s="417"/>
      <c r="G291" s="417"/>
      <c r="H291" s="417"/>
      <c r="I291" s="417"/>
      <c r="J291" s="417"/>
      <c r="K291" s="417"/>
      <c r="L291" s="417"/>
      <c r="M291" s="417"/>
      <c r="N291" s="417"/>
      <c r="O291" s="417"/>
      <c r="P291" s="417"/>
      <c r="Q291" s="417"/>
      <c r="R291" s="417"/>
      <c r="S291" s="417"/>
      <c r="T291" s="417"/>
      <c r="U291" s="417"/>
      <c r="V291" s="417"/>
      <c r="W291" s="417"/>
      <c r="X291" s="417"/>
      <c r="Y291" s="417"/>
      <c r="Z291" s="417"/>
      <c r="AA291" s="417"/>
      <c r="AB291" s="417"/>
      <c r="AC291" s="417"/>
      <c r="AD291" s="417"/>
      <c r="AE291" s="417"/>
      <c r="AF291" s="417"/>
      <c r="AG291" s="417"/>
      <c r="AH291" s="417"/>
      <c r="AI291" s="417"/>
      <c r="AJ291" s="417"/>
      <c r="AK291" s="417"/>
    </row>
    <row r="292" spans="1:37" s="206" customFormat="1" ht="75">
      <c r="A292" s="420">
        <v>4</v>
      </c>
      <c r="B292" s="428" t="s">
        <v>362</v>
      </c>
      <c r="C292" s="421">
        <v>1</v>
      </c>
      <c r="D292" s="420">
        <v>3</v>
      </c>
      <c r="E292" s="420">
        <f>+D292*C292</f>
        <v>3</v>
      </c>
      <c r="F292" s="417"/>
      <c r="G292" s="417"/>
      <c r="H292" s="417"/>
      <c r="I292" s="417"/>
      <c r="J292" s="417"/>
      <c r="K292" s="417"/>
      <c r="L292" s="417"/>
      <c r="M292" s="417"/>
      <c r="N292" s="417"/>
      <c r="O292" s="417"/>
      <c r="P292" s="417"/>
      <c r="Q292" s="417"/>
      <c r="R292" s="417"/>
      <c r="S292" s="417"/>
      <c r="T292" s="417"/>
      <c r="U292" s="417"/>
      <c r="V292" s="417"/>
      <c r="W292" s="417"/>
      <c r="X292" s="417"/>
      <c r="Y292" s="417"/>
      <c r="Z292" s="417"/>
      <c r="AA292" s="417"/>
      <c r="AB292" s="417"/>
      <c r="AC292" s="417"/>
      <c r="AD292" s="417"/>
      <c r="AE292" s="417"/>
      <c r="AF292" s="417"/>
      <c r="AG292" s="417"/>
      <c r="AH292" s="417"/>
      <c r="AI292" s="417"/>
      <c r="AJ292" s="417"/>
      <c r="AK292" s="417"/>
    </row>
    <row r="293" spans="1:37" s="206" customFormat="1" ht="75">
      <c r="A293" s="420">
        <v>5</v>
      </c>
      <c r="B293" s="428" t="s">
        <v>363</v>
      </c>
      <c r="C293" s="421">
        <v>1</v>
      </c>
      <c r="D293" s="420">
        <v>3</v>
      </c>
      <c r="E293" s="420">
        <f>+D293*C293</f>
        <v>3</v>
      </c>
      <c r="F293" s="417"/>
      <c r="G293" s="417"/>
      <c r="H293" s="417"/>
      <c r="I293" s="417"/>
      <c r="J293" s="417"/>
      <c r="K293" s="417"/>
      <c r="L293" s="417"/>
      <c r="M293" s="417"/>
      <c r="N293" s="417"/>
      <c r="O293" s="417"/>
      <c r="P293" s="417"/>
      <c r="Q293" s="417"/>
      <c r="R293" s="417"/>
      <c r="S293" s="417"/>
      <c r="T293" s="417"/>
      <c r="U293" s="417"/>
      <c r="V293" s="417"/>
      <c r="W293" s="417"/>
      <c r="X293" s="417"/>
      <c r="Y293" s="417"/>
      <c r="Z293" s="417"/>
      <c r="AA293" s="417"/>
      <c r="AB293" s="417"/>
      <c r="AC293" s="417"/>
      <c r="AD293" s="417"/>
      <c r="AE293" s="417"/>
      <c r="AF293" s="417"/>
      <c r="AG293" s="417"/>
      <c r="AH293" s="417"/>
      <c r="AI293" s="417"/>
      <c r="AJ293" s="417"/>
      <c r="AK293" s="417"/>
    </row>
    <row r="294" spans="1:5" s="206" customFormat="1" ht="24.75" customHeight="1">
      <c r="A294" s="420"/>
      <c r="B294" s="429" t="s">
        <v>315</v>
      </c>
      <c r="C294" s="463">
        <f>SUM(C289:C293)</f>
        <v>5</v>
      </c>
      <c r="D294" s="463"/>
      <c r="E294" s="463">
        <v>1</v>
      </c>
    </row>
    <row r="295" s="206" customFormat="1" ht="24.75" customHeight="1"/>
    <row r="296" s="206" customFormat="1" ht="24.75" customHeight="1"/>
    <row r="297" s="206" customFormat="1" ht="24.75" customHeight="1"/>
    <row r="298" s="206" customFormat="1" ht="24.75" customHeight="1"/>
    <row r="299" s="206" customFormat="1" ht="24.75" customHeight="1"/>
    <row r="300" s="206" customFormat="1" ht="24.75" customHeight="1"/>
    <row r="301" s="206" customFormat="1" ht="24.75" customHeight="1"/>
    <row r="302" s="206" customFormat="1" ht="24.75" customHeight="1"/>
    <row r="303" s="206" customFormat="1" ht="24.75" customHeight="1"/>
    <row r="304" s="206" customFormat="1" ht="24.75" customHeight="1"/>
    <row r="305" s="206" customFormat="1" ht="24.75" customHeight="1"/>
    <row r="306" s="206" customFormat="1" ht="24.75" customHeight="1"/>
    <row r="307" s="206" customFormat="1" ht="24.75" customHeight="1"/>
    <row r="308" s="206" customFormat="1" ht="24.75" customHeight="1"/>
    <row r="309" s="206" customFormat="1" ht="24.75" customHeight="1"/>
    <row r="310" s="206" customFormat="1" ht="24.75" customHeight="1"/>
    <row r="311" s="206" customFormat="1" ht="24.75" customHeight="1"/>
    <row r="312" s="206" customFormat="1" ht="24.75" customHeight="1"/>
    <row r="313" s="206" customFormat="1" ht="24.75" customHeight="1"/>
    <row r="314" s="206" customFormat="1" ht="24.7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</sheetData>
  <sheetProtection/>
  <mergeCells count="15">
    <mergeCell ref="B43:B45"/>
    <mergeCell ref="D43:D45"/>
    <mergeCell ref="C73:D73"/>
    <mergeCell ref="E73:E74"/>
    <mergeCell ref="H2:K2"/>
    <mergeCell ref="P3:R3"/>
    <mergeCell ref="E43:G43"/>
    <mergeCell ref="G44:G45"/>
    <mergeCell ref="C43:C45"/>
    <mergeCell ref="B103:B104"/>
    <mergeCell ref="C103:D103"/>
    <mergeCell ref="E103:E104"/>
    <mergeCell ref="F103:G103"/>
    <mergeCell ref="F73:G73"/>
    <mergeCell ref="B73:B7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O45"/>
  <sheetViews>
    <sheetView view="pageBreakPreview" zoomScale="110" zoomScaleNormal="110" zoomScaleSheetLayoutView="110" zoomScalePageLayoutView="0" workbookViewId="0" topLeftCell="A13">
      <selection activeCell="I8" sqref="I8:L8"/>
    </sheetView>
  </sheetViews>
  <sheetFormatPr defaultColWidth="9.140625" defaultRowHeight="12.75"/>
  <cols>
    <col min="1" max="1" width="0.85546875" style="0" customWidth="1"/>
    <col min="2" max="2" width="4.7109375" style="0" customWidth="1"/>
    <col min="3" max="3" width="18.57421875" style="0" customWidth="1"/>
    <col min="4" max="4" width="35.28125" style="0" customWidth="1"/>
    <col min="5" max="5" width="4.8515625" style="0" customWidth="1"/>
    <col min="6" max="6" width="9.00390625" style="0" customWidth="1"/>
    <col min="7" max="7" width="7.57421875" style="0" customWidth="1"/>
    <col min="8" max="8" width="9.57421875" style="0" customWidth="1"/>
    <col min="9" max="9" width="12.00390625" style="0" customWidth="1"/>
    <col min="10" max="10" width="6.421875" style="0" customWidth="1"/>
    <col min="11" max="11" width="5.7109375" style="0" customWidth="1"/>
    <col min="12" max="12" width="13.140625" style="0" customWidth="1"/>
    <col min="13" max="13" width="0.85546875" style="0" customWidth="1"/>
  </cols>
  <sheetData>
    <row r="2" spans="2:12" ht="15.75">
      <c r="B2" s="504" t="s">
        <v>0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</row>
    <row r="3" spans="2:12" ht="16.5" thickBot="1">
      <c r="B3" s="505" t="s">
        <v>330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</row>
    <row r="4" spans="2:12" ht="14.25" thickBot="1" thickTop="1">
      <c r="B4" s="1" t="s">
        <v>1</v>
      </c>
      <c r="C4" s="509" t="s">
        <v>2</v>
      </c>
      <c r="D4" s="510"/>
      <c r="E4" s="511"/>
      <c r="F4" s="16" t="s">
        <v>1</v>
      </c>
      <c r="G4" s="509" t="s">
        <v>331</v>
      </c>
      <c r="H4" s="510"/>
      <c r="I4" s="510"/>
      <c r="J4" s="510"/>
      <c r="K4" s="510"/>
      <c r="L4" s="511"/>
    </row>
    <row r="5" spans="2:12" ht="13.5" thickTop="1">
      <c r="B5" s="2">
        <v>1</v>
      </c>
      <c r="C5" s="4" t="s">
        <v>3</v>
      </c>
      <c r="D5" s="432" t="s">
        <v>324</v>
      </c>
      <c r="E5" s="433"/>
      <c r="F5" s="6">
        <v>1</v>
      </c>
      <c r="G5" s="512" t="s">
        <v>3</v>
      </c>
      <c r="H5" s="513"/>
      <c r="I5" s="506"/>
      <c r="J5" s="507"/>
      <c r="K5" s="507"/>
      <c r="L5" s="508"/>
    </row>
    <row r="6" spans="2:12" ht="12.75">
      <c r="B6" s="2">
        <v>2</v>
      </c>
      <c r="C6" s="4" t="s">
        <v>4</v>
      </c>
      <c r="D6" s="436" t="s">
        <v>325</v>
      </c>
      <c r="E6" s="437"/>
      <c r="F6" s="7">
        <v>2</v>
      </c>
      <c r="G6" s="514" t="s">
        <v>329</v>
      </c>
      <c r="H6" s="515"/>
      <c r="I6" s="521"/>
      <c r="J6" s="522"/>
      <c r="K6" s="522"/>
      <c r="L6" s="523"/>
    </row>
    <row r="7" spans="2:12" ht="12.75">
      <c r="B7" s="2">
        <v>3</v>
      </c>
      <c r="C7" s="4" t="s">
        <v>7</v>
      </c>
      <c r="D7" s="435" t="s">
        <v>326</v>
      </c>
      <c r="E7" s="434"/>
      <c r="F7" s="7">
        <v>3</v>
      </c>
      <c r="G7" s="514" t="s">
        <v>7</v>
      </c>
      <c r="H7" s="515"/>
      <c r="I7" s="524"/>
      <c r="J7" s="522"/>
      <c r="K7" s="522"/>
      <c r="L7" s="523"/>
    </row>
    <row r="8" spans="2:12" ht="12.75">
      <c r="B8" s="2">
        <v>4</v>
      </c>
      <c r="C8" s="4" t="s">
        <v>5</v>
      </c>
      <c r="D8" s="435" t="s">
        <v>327</v>
      </c>
      <c r="E8" s="434"/>
      <c r="F8" s="7">
        <v>4</v>
      </c>
      <c r="G8" s="514" t="s">
        <v>222</v>
      </c>
      <c r="H8" s="515"/>
      <c r="I8" s="524"/>
      <c r="J8" s="522"/>
      <c r="K8" s="522"/>
      <c r="L8" s="523"/>
    </row>
    <row r="9" spans="2:12" ht="13.5" thickBot="1">
      <c r="B9" s="3">
        <v>5</v>
      </c>
      <c r="C9" s="5" t="s">
        <v>6</v>
      </c>
      <c r="D9" s="438" t="s">
        <v>308</v>
      </c>
      <c r="E9" s="439"/>
      <c r="F9" s="8">
        <v>5</v>
      </c>
      <c r="G9" s="519" t="s">
        <v>254</v>
      </c>
      <c r="H9" s="520"/>
      <c r="I9" s="516" t="s">
        <v>308</v>
      </c>
      <c r="J9" s="517"/>
      <c r="K9" s="517"/>
      <c r="L9" s="518"/>
    </row>
    <row r="10" spans="2:12" ht="21" customHeight="1" thickBot="1" thickTop="1">
      <c r="B10" s="533" t="s">
        <v>1</v>
      </c>
      <c r="C10" s="549" t="s">
        <v>25</v>
      </c>
      <c r="D10" s="550"/>
      <c r="E10" s="551"/>
      <c r="F10" s="533" t="s">
        <v>21</v>
      </c>
      <c r="G10" s="546" t="s">
        <v>8</v>
      </c>
      <c r="H10" s="547"/>
      <c r="I10" s="547"/>
      <c r="J10" s="547"/>
      <c r="K10" s="547"/>
      <c r="L10" s="548"/>
    </row>
    <row r="11" spans="2:12" ht="22.5" customHeight="1" thickBot="1" thickTop="1">
      <c r="B11" s="534"/>
      <c r="C11" s="552"/>
      <c r="D11" s="553"/>
      <c r="E11" s="554"/>
      <c r="F11" s="534"/>
      <c r="G11" s="542" t="s">
        <v>22</v>
      </c>
      <c r="H11" s="543"/>
      <c r="I11" s="9" t="s">
        <v>9</v>
      </c>
      <c r="J11" s="542" t="s">
        <v>10</v>
      </c>
      <c r="K11" s="543"/>
      <c r="L11" s="9" t="s">
        <v>11</v>
      </c>
    </row>
    <row r="12" spans="2:12" ht="22.5" customHeight="1" thickTop="1">
      <c r="B12" s="92"/>
      <c r="C12" s="167" t="s">
        <v>129</v>
      </c>
      <c r="D12" s="93"/>
      <c r="E12" s="94"/>
      <c r="F12" s="92"/>
      <c r="G12" s="95"/>
      <c r="H12" s="96"/>
      <c r="I12" s="97"/>
      <c r="J12" s="95"/>
      <c r="K12" s="96"/>
      <c r="L12" s="96"/>
    </row>
    <row r="13" spans="2:15" s="17" customFormat="1" ht="15" customHeight="1">
      <c r="B13" s="83">
        <v>1</v>
      </c>
      <c r="C13" s="544" t="str">
        <f>'02. PENCARIAN AK'!B16</f>
        <v>Melaksanakan perkuliahan</v>
      </c>
      <c r="D13" s="545"/>
      <c r="E13" s="89"/>
      <c r="F13" s="139">
        <f>'02. PENCARIAN AK'!G48</f>
        <v>8</v>
      </c>
      <c r="G13" s="134">
        <f>'02. PENCARIAN AK'!G17</f>
        <v>16</v>
      </c>
      <c r="H13" s="90" t="s">
        <v>86</v>
      </c>
      <c r="I13" s="83">
        <v>100</v>
      </c>
      <c r="J13" s="447">
        <v>12</v>
      </c>
      <c r="K13" s="91" t="s">
        <v>87</v>
      </c>
      <c r="L13" s="142" t="s">
        <v>90</v>
      </c>
      <c r="O13" s="144"/>
    </row>
    <row r="14" spans="2:12" s="17" customFormat="1" ht="15" customHeight="1">
      <c r="B14" s="83">
        <v>2</v>
      </c>
      <c r="C14" s="104" t="str">
        <f>'02. PENCARIAN AK'!B50</f>
        <v>Membimbing mahasiswa seminar</v>
      </c>
      <c r="D14" s="103"/>
      <c r="E14" s="89"/>
      <c r="F14" s="140">
        <f>'02. PENCARIAN AK'!G50</f>
        <v>2</v>
      </c>
      <c r="G14" s="134">
        <f>'02. PENCARIAN AK'!G51</f>
        <v>2</v>
      </c>
      <c r="H14" s="90" t="s">
        <v>97</v>
      </c>
      <c r="I14" s="83">
        <v>100</v>
      </c>
      <c r="J14" s="447">
        <v>12</v>
      </c>
      <c r="K14" s="91" t="s">
        <v>87</v>
      </c>
      <c r="L14" s="142" t="s">
        <v>90</v>
      </c>
    </row>
    <row r="15" spans="2:12" s="17" customFormat="1" ht="27" customHeight="1">
      <c r="B15" s="19">
        <v>3</v>
      </c>
      <c r="C15" s="535" t="str">
        <f>'02. PENCARIAN AK'!B60</f>
        <v>Membimbing mahasiswa KKN, Praktek Kerja Nyata, Praktek Kerja Lapangan</v>
      </c>
      <c r="D15" s="536"/>
      <c r="E15" s="25"/>
      <c r="F15" s="140">
        <f>'02. PENCARIAN AK'!G60</f>
        <v>2</v>
      </c>
      <c r="G15" s="135">
        <f>'02. PENCARIAN AK'!G61</f>
        <v>2</v>
      </c>
      <c r="H15" s="26" t="s">
        <v>97</v>
      </c>
      <c r="I15" s="19">
        <v>100</v>
      </c>
      <c r="J15" s="448">
        <v>12</v>
      </c>
      <c r="K15" s="20" t="s">
        <v>87</v>
      </c>
      <c r="L15" s="143" t="s">
        <v>90</v>
      </c>
    </row>
    <row r="16" spans="2:12" s="17" customFormat="1" ht="27" customHeight="1">
      <c r="B16" s="19">
        <v>4</v>
      </c>
      <c r="C16" s="535" t="str">
        <f>'02. PENCARIAN AK'!B70</f>
        <v>Membimbing dan ikut membimbing dalam menghasilkan skripsi, thesis, disertasi</v>
      </c>
      <c r="D16" s="536"/>
      <c r="E16" s="25"/>
      <c r="F16" s="140">
        <f>'02. PENCARIAN AK'!G70</f>
        <v>4</v>
      </c>
      <c r="G16" s="135">
        <f>'02. PENCARIAN AK'!G71</f>
        <v>8</v>
      </c>
      <c r="H16" s="26" t="s">
        <v>228</v>
      </c>
      <c r="I16" s="19">
        <v>100</v>
      </c>
      <c r="J16" s="448">
        <v>12</v>
      </c>
      <c r="K16" s="20" t="s">
        <v>87</v>
      </c>
      <c r="L16" s="143" t="s">
        <v>90</v>
      </c>
    </row>
    <row r="17" spans="2:12" s="17" customFormat="1" ht="15" customHeight="1">
      <c r="B17" s="19">
        <v>5</v>
      </c>
      <c r="C17" s="101" t="str">
        <f>'02. PENCARIAN AK'!B101</f>
        <v>Menjadi penguji Ujian Akhir baik sebagai ketua maupun anggota</v>
      </c>
      <c r="D17" s="102"/>
      <c r="E17" s="25"/>
      <c r="F17" s="140">
        <f>'02. PENCARIAN AK'!G101</f>
        <v>6</v>
      </c>
      <c r="G17" s="135">
        <f>'02. PENCARIAN AK'!G102</f>
        <v>6</v>
      </c>
      <c r="H17" s="26" t="s">
        <v>228</v>
      </c>
      <c r="I17" s="19">
        <v>100</v>
      </c>
      <c r="J17" s="448">
        <v>12</v>
      </c>
      <c r="K17" s="20" t="s">
        <v>87</v>
      </c>
      <c r="L17" s="143" t="s">
        <v>90</v>
      </c>
    </row>
    <row r="18" spans="2:12" s="17" customFormat="1" ht="15" customHeight="1">
      <c r="B18" s="19">
        <v>6</v>
      </c>
      <c r="C18" s="101" t="str">
        <f>'02. PENCARIAN AK'!B120</f>
        <v>Membina kegiatan kemahasiswaan di bidang akademik dan kemahasiswaan</v>
      </c>
      <c r="D18" s="102"/>
      <c r="E18" s="25"/>
      <c r="F18" s="140">
        <f>'02. PENCARIAN AK'!G120</f>
        <v>6</v>
      </c>
      <c r="G18" s="135">
        <f>'02. PENCARIAN AK'!E126</f>
        <v>3</v>
      </c>
      <c r="H18" s="26" t="s">
        <v>97</v>
      </c>
      <c r="I18" s="19">
        <v>100</v>
      </c>
      <c r="J18" s="448">
        <v>12</v>
      </c>
      <c r="K18" s="20" t="s">
        <v>87</v>
      </c>
      <c r="L18" s="143" t="s">
        <v>90</v>
      </c>
    </row>
    <row r="19" spans="2:12" s="17" customFormat="1" ht="15" customHeight="1">
      <c r="B19" s="19">
        <v>7</v>
      </c>
      <c r="C19" s="529" t="str">
        <f>'02. PENCARIAN AK'!B130</f>
        <v>Mengembangkan bahan kuliah</v>
      </c>
      <c r="D19" s="530"/>
      <c r="E19" s="25"/>
      <c r="F19" s="140">
        <f>'02. PENCARIAN AK'!D162</f>
        <v>0</v>
      </c>
      <c r="G19" s="135">
        <f>'02. PENCARIAN AK'!C162</f>
        <v>0</v>
      </c>
      <c r="H19" s="26" t="s">
        <v>128</v>
      </c>
      <c r="I19" s="19">
        <v>100</v>
      </c>
      <c r="J19" s="448">
        <v>12</v>
      </c>
      <c r="K19" s="20" t="s">
        <v>87</v>
      </c>
      <c r="L19" s="143" t="s">
        <v>90</v>
      </c>
    </row>
    <row r="20" spans="2:12" s="17" customFormat="1" ht="19.5" customHeight="1">
      <c r="B20" s="19"/>
      <c r="C20" s="537" t="str">
        <f>'02. PENCARIAN AK'!B168</f>
        <v>PELAKSANAAN PENELITIAN</v>
      </c>
      <c r="D20" s="538"/>
      <c r="E20" s="25"/>
      <c r="F20" s="140"/>
      <c r="G20" s="135"/>
      <c r="H20" s="26"/>
      <c r="I20" s="19"/>
      <c r="J20" s="448"/>
      <c r="K20" s="20"/>
      <c r="L20" s="143"/>
    </row>
    <row r="21" spans="2:12" s="17" customFormat="1" ht="15" customHeight="1">
      <c r="B21" s="19">
        <v>1</v>
      </c>
      <c r="C21" s="529" t="str">
        <f>'02. PENCARIAN AK'!B170</f>
        <v>Menghasilkan karya ilmiah</v>
      </c>
      <c r="D21" s="530"/>
      <c r="E21" s="25"/>
      <c r="F21" s="140">
        <f>'02. PENCARIAN AK'!G170</f>
        <v>36</v>
      </c>
      <c r="G21" s="135">
        <f>'02. PENCARIAN AK'!G171</f>
        <v>3</v>
      </c>
      <c r="H21" s="26" t="s">
        <v>193</v>
      </c>
      <c r="I21" s="19">
        <v>100</v>
      </c>
      <c r="J21" s="448">
        <v>12</v>
      </c>
      <c r="K21" s="20" t="s">
        <v>87</v>
      </c>
      <c r="L21" s="143" t="s">
        <v>90</v>
      </c>
    </row>
    <row r="22" spans="2:12" s="17" customFormat="1" ht="19.5" customHeight="1">
      <c r="B22" s="19"/>
      <c r="C22" s="537" t="str">
        <f>'02. PENCARIAN AK'!B202</f>
        <v>PELAKSANAAN PENGABDIAN KEPADA MASYARAKAT</v>
      </c>
      <c r="D22" s="538"/>
      <c r="E22" s="25"/>
      <c r="F22" s="140"/>
      <c r="G22" s="135"/>
      <c r="H22" s="26"/>
      <c r="I22" s="19"/>
      <c r="J22" s="448"/>
      <c r="K22" s="20"/>
      <c r="L22" s="143"/>
    </row>
    <row r="23" spans="2:12" s="17" customFormat="1" ht="21.75" customHeight="1">
      <c r="B23" s="83">
        <v>1</v>
      </c>
      <c r="C23" s="525" t="str">
        <f>'02. PENCARIAN AK'!B204</f>
        <v>Melaksanan kegiatan Pengabdian Kepada Masyarakat</v>
      </c>
      <c r="D23" s="536"/>
      <c r="E23" s="25"/>
      <c r="F23" s="140">
        <f>'02. PENCARIAN AK'!G204</f>
        <v>10</v>
      </c>
      <c r="G23" s="135">
        <f>'02. PENCARIAN AK'!G205</f>
        <v>6</v>
      </c>
      <c r="H23" s="26" t="s">
        <v>294</v>
      </c>
      <c r="I23" s="19">
        <v>100</v>
      </c>
      <c r="J23" s="448">
        <v>12</v>
      </c>
      <c r="K23" s="20" t="s">
        <v>87</v>
      </c>
      <c r="L23" s="143" t="s">
        <v>90</v>
      </c>
    </row>
    <row r="24" spans="2:12" s="17" customFormat="1" ht="19.5" customHeight="1">
      <c r="B24" s="19"/>
      <c r="C24" s="531" t="str">
        <f>'02. PENCARIAN AK'!B238</f>
        <v>MENDUDUKI JABATAN PIMPINAN DI PERGURUAN TINGGI</v>
      </c>
      <c r="D24" s="532"/>
      <c r="E24" s="25"/>
      <c r="F24" s="140"/>
      <c r="G24" s="135"/>
      <c r="H24" s="26"/>
      <c r="I24" s="19"/>
      <c r="J24" s="448"/>
      <c r="K24" s="20"/>
      <c r="L24" s="143"/>
    </row>
    <row r="25" spans="2:12" s="17" customFormat="1" ht="27" customHeight="1">
      <c r="B25" s="83"/>
      <c r="C25" s="541" t="str">
        <f>'02. PENCARIAN AK'!B18</f>
        <v>GENAP 2017/2018</v>
      </c>
      <c r="D25" s="538"/>
      <c r="E25" s="25"/>
      <c r="F25" s="140"/>
      <c r="G25" s="135"/>
      <c r="H25" s="26"/>
      <c r="I25" s="19"/>
      <c r="J25" s="448"/>
      <c r="K25" s="20"/>
      <c r="L25" s="143"/>
    </row>
    <row r="26" spans="2:12" s="17" customFormat="1" ht="15" customHeight="1">
      <c r="B26" s="83">
        <v>1</v>
      </c>
      <c r="C26" s="525" t="s">
        <v>364</v>
      </c>
      <c r="D26" s="526"/>
      <c r="E26" s="25"/>
      <c r="F26" s="140">
        <f>'02. PENCARIAN AK'!D281</f>
        <v>3</v>
      </c>
      <c r="G26" s="135">
        <f>'02. PENCARIAN AK'!C281</f>
        <v>1</v>
      </c>
      <c r="H26" s="26" t="s">
        <v>97</v>
      </c>
      <c r="I26" s="19">
        <v>100</v>
      </c>
      <c r="J26" s="448">
        <v>6</v>
      </c>
      <c r="K26" s="20" t="s">
        <v>87</v>
      </c>
      <c r="L26" s="143" t="s">
        <v>90</v>
      </c>
    </row>
    <row r="27" spans="2:12" s="17" customFormat="1" ht="19.5" customHeight="1">
      <c r="B27" s="83"/>
      <c r="C27" s="541" t="str">
        <f>'02. PENCARIAN AK'!B30</f>
        <v>GANJIL 2018/2019</v>
      </c>
      <c r="D27" s="538"/>
      <c r="E27" s="25"/>
      <c r="F27" s="140"/>
      <c r="G27" s="135"/>
      <c r="H27" s="26"/>
      <c r="I27" s="19"/>
      <c r="J27" s="448"/>
      <c r="K27" s="20"/>
      <c r="L27" s="143"/>
    </row>
    <row r="28" spans="2:12" s="17" customFormat="1" ht="15" customHeight="1">
      <c r="B28" s="83">
        <v>1</v>
      </c>
      <c r="C28" s="525" t="s">
        <v>364</v>
      </c>
      <c r="D28" s="526"/>
      <c r="E28" s="25"/>
      <c r="F28" s="140">
        <f>'02. PENCARIAN AK'!D282</f>
        <v>3</v>
      </c>
      <c r="G28" s="135">
        <f>'02. PENCARIAN AK'!C282</f>
        <v>1</v>
      </c>
      <c r="H28" s="26" t="s">
        <v>97</v>
      </c>
      <c r="I28" s="19">
        <v>100</v>
      </c>
      <c r="J28" s="448">
        <v>6</v>
      </c>
      <c r="K28" s="20" t="s">
        <v>87</v>
      </c>
      <c r="L28" s="143" t="s">
        <v>90</v>
      </c>
    </row>
    <row r="29" spans="2:12" s="17" customFormat="1" ht="19.5" customHeight="1" thickBot="1">
      <c r="B29" s="19"/>
      <c r="C29" s="539"/>
      <c r="D29" s="540"/>
      <c r="E29" s="28"/>
      <c r="F29" s="141">
        <f>SUM(F13:F28)</f>
        <v>80</v>
      </c>
      <c r="G29" s="133"/>
      <c r="H29" s="29"/>
      <c r="I29" s="21"/>
      <c r="J29" s="27"/>
      <c r="K29" s="22"/>
      <c r="L29" s="23"/>
    </row>
    <row r="30" ht="6.75" customHeight="1" thickTop="1"/>
    <row r="31" spans="8:12" ht="12.75">
      <c r="H31" s="168" t="s">
        <v>365</v>
      </c>
      <c r="I31" s="184"/>
      <c r="J31" s="50"/>
      <c r="K31" s="50"/>
      <c r="L31" s="50"/>
    </row>
    <row r="32" spans="2:12" ht="12.75">
      <c r="B32" s="527" t="s">
        <v>24</v>
      </c>
      <c r="C32" s="527"/>
      <c r="D32" s="527"/>
      <c r="E32" s="527"/>
      <c r="F32" s="527"/>
      <c r="G32" s="15"/>
      <c r="H32" s="527" t="s">
        <v>332</v>
      </c>
      <c r="I32" s="527"/>
      <c r="J32" s="527"/>
      <c r="K32" s="527"/>
      <c r="L32" s="527"/>
    </row>
    <row r="33" spans="2:12" ht="12.7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6" spans="2:12" ht="12.75">
      <c r="B36" s="528" t="str">
        <f>D5</f>
        <v>Dr. Ir. Amir Hamzah, MP.</v>
      </c>
      <c r="C36" s="528"/>
      <c r="D36" s="528"/>
      <c r="E36" s="528"/>
      <c r="F36" s="528"/>
      <c r="G36" s="15"/>
      <c r="H36" s="528">
        <f>I5</f>
        <v>0</v>
      </c>
      <c r="I36" s="528"/>
      <c r="J36" s="528"/>
      <c r="K36" s="528"/>
      <c r="L36" s="528"/>
    </row>
    <row r="37" spans="2:12" ht="12.75">
      <c r="B37" s="527" t="str">
        <f>D6</f>
        <v>196705272005011001</v>
      </c>
      <c r="C37" s="527"/>
      <c r="D37" s="527"/>
      <c r="E37" s="527"/>
      <c r="F37" s="527"/>
      <c r="H37" s="527">
        <f>I6</f>
        <v>0</v>
      </c>
      <c r="I37" s="527"/>
      <c r="J37" s="527"/>
      <c r="K37" s="527"/>
      <c r="L37" s="527"/>
    </row>
    <row r="39" spans="2:7" ht="12.75">
      <c r="B39" s="527"/>
      <c r="C39" s="527"/>
      <c r="D39" s="527"/>
      <c r="E39" s="527"/>
      <c r="F39" s="527"/>
      <c r="G39" s="15"/>
    </row>
    <row r="40" spans="2:12" ht="12.7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 ht="12.7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 ht="12.7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 ht="12.7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 ht="12.7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 ht="12.7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</sheetData>
  <sheetProtection/>
  <mergeCells count="41">
    <mergeCell ref="J11:K11"/>
    <mergeCell ref="F10:F11"/>
    <mergeCell ref="C13:D13"/>
    <mergeCell ref="G10:L10"/>
    <mergeCell ref="G11:H11"/>
    <mergeCell ref="C22:D22"/>
    <mergeCell ref="C16:D16"/>
    <mergeCell ref="C10:E11"/>
    <mergeCell ref="B10:B11"/>
    <mergeCell ref="C15:D15"/>
    <mergeCell ref="C28:D28"/>
    <mergeCell ref="B32:F32"/>
    <mergeCell ref="C20:D20"/>
    <mergeCell ref="C21:D21"/>
    <mergeCell ref="C23:D23"/>
    <mergeCell ref="C29:D29"/>
    <mergeCell ref="C25:D25"/>
    <mergeCell ref="C27:D27"/>
    <mergeCell ref="C26:D26"/>
    <mergeCell ref="B39:F39"/>
    <mergeCell ref="B36:F36"/>
    <mergeCell ref="C19:D19"/>
    <mergeCell ref="H36:L36"/>
    <mergeCell ref="H37:L37"/>
    <mergeCell ref="B37:F37"/>
    <mergeCell ref="H32:L32"/>
    <mergeCell ref="C24:D24"/>
    <mergeCell ref="G8:H8"/>
    <mergeCell ref="G6:H6"/>
    <mergeCell ref="G7:H7"/>
    <mergeCell ref="I9:L9"/>
    <mergeCell ref="G9:H9"/>
    <mergeCell ref="I6:L6"/>
    <mergeCell ref="I7:L7"/>
    <mergeCell ref="I8:L8"/>
    <mergeCell ref="B2:L2"/>
    <mergeCell ref="B3:L3"/>
    <mergeCell ref="I5:L5"/>
    <mergeCell ref="C4:E4"/>
    <mergeCell ref="G4:L4"/>
    <mergeCell ref="G5:H5"/>
  </mergeCells>
  <printOptions/>
  <pageMargins left="1.53" right="0.511811023622047" top="0.669291338582677" bottom="0.47244094488189" header="0.511811023622047" footer="0.27559055118110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1"/>
  <sheetViews>
    <sheetView view="pageBreakPreview" zoomScale="85" zoomScaleSheetLayoutView="85" zoomScalePageLayoutView="0" workbookViewId="0" topLeftCell="A1">
      <selection activeCell="A2" sqref="A2:R2"/>
    </sheetView>
  </sheetViews>
  <sheetFormatPr defaultColWidth="9.140625" defaultRowHeight="12.75"/>
  <cols>
    <col min="1" max="1" width="4.28125" style="0" customWidth="1"/>
    <col min="2" max="2" width="31.28125" style="0" customWidth="1"/>
    <col min="3" max="4" width="4.7109375" style="0" customWidth="1"/>
    <col min="5" max="5" width="8.421875" style="0" customWidth="1"/>
    <col min="6" max="6" width="6.7109375" style="0" customWidth="1"/>
    <col min="7" max="7" width="4.7109375" style="0" customWidth="1"/>
    <col min="8" max="8" width="4.421875" style="0" customWidth="1"/>
    <col min="9" max="9" width="4.421875" style="0" bestFit="1" customWidth="1"/>
    <col min="10" max="10" width="4.7109375" style="0" customWidth="1"/>
    <col min="11" max="11" width="4.140625" style="0" customWidth="1"/>
    <col min="12" max="12" width="8.28125" style="0" customWidth="1"/>
    <col min="13" max="13" width="7.140625" style="200" customWidth="1"/>
    <col min="14" max="14" width="4.00390625" style="0" customWidth="1"/>
    <col min="15" max="15" width="4.421875" style="0" customWidth="1"/>
    <col min="16" max="16" width="6.57421875" style="0" customWidth="1"/>
    <col min="17" max="17" width="13.140625" style="15" customWidth="1"/>
    <col min="18" max="18" width="9.57421875" style="15" customWidth="1"/>
    <col min="20" max="20" width="4.28125" style="0" customWidth="1"/>
    <col min="21" max="21" width="10.00390625" style="0" customWidth="1"/>
    <col min="22" max="22" width="9.140625" style="0" customWidth="1"/>
    <col min="23" max="23" width="12.00390625" style="0" customWidth="1"/>
    <col min="24" max="24" width="11.57421875" style="0" customWidth="1"/>
    <col min="25" max="25" width="8.57421875" style="0" customWidth="1"/>
    <col min="26" max="26" width="19.8515625" style="0" customWidth="1"/>
    <col min="27" max="27" width="10.421875" style="0" customWidth="1"/>
    <col min="28" max="28" width="7.421875" style="0" customWidth="1"/>
    <col min="29" max="30" width="10.421875" style="0" customWidth="1"/>
    <col min="31" max="32" width="8.57421875" style="0" customWidth="1"/>
    <col min="33" max="33" width="12.00390625" style="0" customWidth="1"/>
    <col min="34" max="43" width="9.140625" style="0" customWidth="1"/>
  </cols>
  <sheetData>
    <row r="1" spans="1:18" ht="15.75">
      <c r="A1" s="504" t="s">
        <v>18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</row>
    <row r="2" spans="1:18" ht="15.75">
      <c r="A2" s="504" t="s">
        <v>377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</row>
    <row r="3" spans="1:17" ht="4.5" customHeigh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4" ht="12.75">
      <c r="A4" s="176" t="s">
        <v>379</v>
      </c>
      <c r="B4" s="177"/>
      <c r="C4" s="177"/>
      <c r="D4" s="177"/>
      <c r="E4" s="177"/>
      <c r="F4" s="177"/>
      <c r="M4" s="194" t="s">
        <v>255</v>
      </c>
      <c r="N4">
        <f>'03. SKP-KPT'!I5</f>
        <v>0</v>
      </c>
    </row>
    <row r="5" spans="1:14" ht="13.5" thickBot="1">
      <c r="A5" s="176"/>
      <c r="B5" s="177"/>
      <c r="C5" s="177"/>
      <c r="D5" s="11"/>
      <c r="E5" s="11"/>
      <c r="F5" s="11"/>
      <c r="M5" s="194" t="s">
        <v>4</v>
      </c>
      <c r="N5">
        <f>'03. SKP-KPT'!I6</f>
        <v>0</v>
      </c>
    </row>
    <row r="6" spans="1:36" ht="13.5" customHeight="1" thickBot="1" thickTop="1">
      <c r="A6" s="533" t="s">
        <v>1</v>
      </c>
      <c r="B6" s="560" t="s">
        <v>26</v>
      </c>
      <c r="C6" s="560" t="s">
        <v>21</v>
      </c>
      <c r="D6" s="546" t="s">
        <v>8</v>
      </c>
      <c r="E6" s="547"/>
      <c r="F6" s="547"/>
      <c r="G6" s="547"/>
      <c r="H6" s="547"/>
      <c r="I6" s="548"/>
      <c r="J6" s="562" t="s">
        <v>21</v>
      </c>
      <c r="K6" s="546" t="s">
        <v>12</v>
      </c>
      <c r="L6" s="547"/>
      <c r="M6" s="547"/>
      <c r="N6" s="547"/>
      <c r="O6" s="547"/>
      <c r="P6" s="548"/>
      <c r="Q6" s="555" t="s">
        <v>13</v>
      </c>
      <c r="R6" s="579" t="s">
        <v>20</v>
      </c>
      <c r="AB6" s="39"/>
      <c r="AC6" s="39"/>
      <c r="AD6" s="39"/>
      <c r="AE6" s="39"/>
      <c r="AF6" s="39"/>
      <c r="AG6" s="39"/>
      <c r="AH6" s="39"/>
      <c r="AI6" s="39"/>
      <c r="AJ6" s="39"/>
    </row>
    <row r="7" spans="1:34" ht="14.25" customHeight="1" thickBot="1" thickTop="1">
      <c r="A7" s="534"/>
      <c r="B7" s="561"/>
      <c r="C7" s="561"/>
      <c r="D7" s="564" t="s">
        <v>23</v>
      </c>
      <c r="E7" s="565"/>
      <c r="F7" s="10" t="s">
        <v>14</v>
      </c>
      <c r="G7" s="564" t="s">
        <v>15</v>
      </c>
      <c r="H7" s="565"/>
      <c r="I7" s="10" t="s">
        <v>16</v>
      </c>
      <c r="J7" s="563"/>
      <c r="K7" s="564" t="s">
        <v>23</v>
      </c>
      <c r="L7" s="565"/>
      <c r="M7" s="195" t="s">
        <v>14</v>
      </c>
      <c r="N7" s="564" t="s">
        <v>15</v>
      </c>
      <c r="O7" s="565"/>
      <c r="P7" s="10" t="s">
        <v>16</v>
      </c>
      <c r="Q7" s="556"/>
      <c r="R7" s="580"/>
      <c r="W7" s="40" t="s">
        <v>33</v>
      </c>
      <c r="X7" s="40" t="s">
        <v>34</v>
      </c>
      <c r="Y7" s="40" t="s">
        <v>27</v>
      </c>
      <c r="Z7" s="40" t="s">
        <v>28</v>
      </c>
      <c r="AA7" s="40" t="s">
        <v>29</v>
      </c>
      <c r="AB7" s="40" t="s">
        <v>30</v>
      </c>
      <c r="AC7" s="40" t="s">
        <v>37</v>
      </c>
      <c r="AD7" s="40" t="s">
        <v>38</v>
      </c>
      <c r="AE7" s="40" t="s">
        <v>39</v>
      </c>
      <c r="AF7" s="40" t="s">
        <v>40</v>
      </c>
      <c r="AG7" s="40"/>
      <c r="AH7" s="40"/>
    </row>
    <row r="8" spans="1:18" ht="7.5" customHeight="1" thickBot="1" thickTop="1">
      <c r="A8" s="12">
        <v>1</v>
      </c>
      <c r="B8" s="13">
        <v>2</v>
      </c>
      <c r="C8" s="13">
        <v>3</v>
      </c>
      <c r="D8" s="568">
        <v>4</v>
      </c>
      <c r="E8" s="569"/>
      <c r="F8" s="13">
        <v>5</v>
      </c>
      <c r="G8" s="568">
        <v>6</v>
      </c>
      <c r="H8" s="569"/>
      <c r="I8" s="13">
        <v>7</v>
      </c>
      <c r="J8" s="13">
        <v>8</v>
      </c>
      <c r="K8" s="568">
        <v>9</v>
      </c>
      <c r="L8" s="569"/>
      <c r="M8" s="196">
        <v>10</v>
      </c>
      <c r="N8" s="568">
        <v>11</v>
      </c>
      <c r="O8" s="569"/>
      <c r="P8" s="13">
        <v>12</v>
      </c>
      <c r="Q8" s="14">
        <v>13</v>
      </c>
      <c r="R8" s="13">
        <v>14</v>
      </c>
    </row>
    <row r="9" spans="1:18" s="119" customFormat="1" ht="24.75" customHeight="1" thickTop="1">
      <c r="A9" s="84"/>
      <c r="B9" s="393" t="str">
        <f>'03. SKP-KPT'!C12</f>
        <v>PELAKSANAAN PENDIDIKAN</v>
      </c>
      <c r="C9" s="85"/>
      <c r="D9" s="86"/>
      <c r="E9" s="87"/>
      <c r="F9" s="87"/>
      <c r="G9" s="86"/>
      <c r="H9" s="87"/>
      <c r="I9" s="85"/>
      <c r="J9" s="85"/>
      <c r="K9" s="86"/>
      <c r="L9" s="87"/>
      <c r="M9" s="197"/>
      <c r="N9" s="86"/>
      <c r="O9" s="87"/>
      <c r="P9" s="85"/>
      <c r="Q9" s="88"/>
      <c r="R9" s="85"/>
    </row>
    <row r="10" spans="1:41" s="18" customFormat="1" ht="16.5" customHeight="1">
      <c r="A10" s="120">
        <f>'03. SKP-KPT'!B13</f>
        <v>1</v>
      </c>
      <c r="B10" s="114" t="str">
        <f>'03. SKP-KPT'!C13</f>
        <v>Melaksanakan perkuliahan</v>
      </c>
      <c r="C10" s="123">
        <f>'03. SKP-KPT'!F13</f>
        <v>8</v>
      </c>
      <c r="D10" s="148">
        <f>'03. SKP-KPT'!G13</f>
        <v>16</v>
      </c>
      <c r="E10" s="149" t="str">
        <f>'03. SKP-KPT'!H13</f>
        <v>sks</v>
      </c>
      <c r="F10" s="150">
        <f>'03. SKP-KPT'!I13</f>
        <v>100</v>
      </c>
      <c r="G10" s="148">
        <f>'03. SKP-KPT'!J13</f>
        <v>12</v>
      </c>
      <c r="H10" s="150" t="str">
        <f>'03. SKP-KPT'!K13</f>
        <v>bln</v>
      </c>
      <c r="I10" s="406" t="s">
        <v>90</v>
      </c>
      <c r="J10" s="128">
        <f>C10</f>
        <v>8</v>
      </c>
      <c r="K10" s="449">
        <f aca="true" t="shared" si="0" ref="K10:K16">+D10</f>
        <v>16</v>
      </c>
      <c r="L10" s="450" t="str">
        <f aca="true" t="shared" si="1" ref="L10:L16">E10</f>
        <v>sks</v>
      </c>
      <c r="M10" s="451">
        <f>K10/D10*100</f>
        <v>100</v>
      </c>
      <c r="N10" s="449">
        <v>12</v>
      </c>
      <c r="O10" s="452" t="str">
        <f aca="true" t="shared" si="2" ref="O10:O16">H10</f>
        <v>bln</v>
      </c>
      <c r="P10" s="453" t="s">
        <v>90</v>
      </c>
      <c r="Q10" s="161">
        <f aca="true" t="shared" si="3" ref="Q10:Q15">AG10</f>
        <v>276</v>
      </c>
      <c r="R10" s="162">
        <f aca="true" t="shared" si="4" ref="R10:R15">IF(I10="-",IF(P10="-",Q10/3,Q10/4),Q10/4)</f>
        <v>92</v>
      </c>
      <c r="T10" s="18">
        <f aca="true" t="shared" si="5" ref="T10:T15">IF(D10&gt;0,1,0)</f>
        <v>1</v>
      </c>
      <c r="U10" s="18">
        <f aca="true" t="shared" si="6" ref="U10:U15">_xlfn.IFERROR(R10,0)</f>
        <v>92</v>
      </c>
      <c r="W10" s="18">
        <f aca="true" t="shared" si="7" ref="W10:W15">100-(N10/G10*100)</f>
        <v>0</v>
      </c>
      <c r="X10" s="41" t="e">
        <f aca="true" t="shared" si="8" ref="X10:X15">100-(P10/I10*100)</f>
        <v>#VALUE!</v>
      </c>
      <c r="Y10" s="18">
        <f aca="true" t="shared" si="9" ref="Y10:Y15">K10/D10*100</f>
        <v>100</v>
      </c>
      <c r="Z10" s="18">
        <f aca="true" t="shared" si="10" ref="Z10:Z15">M10/F10*100</f>
        <v>100</v>
      </c>
      <c r="AA10" s="37">
        <f aca="true" t="shared" si="11" ref="AA10:AA15">IF(W10&gt;24,AD10,AC10)</f>
        <v>76.00000000000001</v>
      </c>
      <c r="AB10" s="37" t="e">
        <f aca="true" t="shared" si="12" ref="AB10:AB15">IF(X10&gt;24,AF10,AE10)</f>
        <v>#VALUE!</v>
      </c>
      <c r="AC10" s="18">
        <f aca="true" t="shared" si="13" ref="AC10:AC15">((1.76*G10-N10)/G10)*100</f>
        <v>76.00000000000001</v>
      </c>
      <c r="AD10" s="18">
        <f aca="true" t="shared" si="14" ref="AD10:AD15">76-((((1.76*G10-N10)/G10)*100)-100)</f>
        <v>99.99999999999999</v>
      </c>
      <c r="AE10" s="117" t="e">
        <f aca="true" t="shared" si="15" ref="AE10:AE15">((1.76*I10-P10)/I10)*100</f>
        <v>#VALUE!</v>
      </c>
      <c r="AF10" s="117" t="e">
        <f aca="true" t="shared" si="16" ref="AF10:AF15">76-((((1.76*I10-P10)/I10)*100)-100)</f>
        <v>#VALUE!</v>
      </c>
      <c r="AG10" s="117">
        <f aca="true" t="shared" si="17" ref="AG10:AG15">_xlfn.IFERROR(SUM(Y10:AB10),SUM(Y10:AA10))</f>
        <v>276</v>
      </c>
      <c r="AH10" s="117"/>
      <c r="AK10" s="42">
        <f aca="true" t="shared" si="18" ref="AK10:AK15">100-(N10/G10*100)</f>
        <v>0</v>
      </c>
      <c r="AL10" s="43" t="e">
        <f aca="true" t="shared" si="19" ref="AL10:AL15">100-(P10/I10*100)</f>
        <v>#VALUE!</v>
      </c>
      <c r="AM10" s="37" t="e">
        <f aca="true" t="shared" si="20" ref="AM10:AM15">IF(AND(AK10&gt;24,AL10&gt;24),(_xlfn.IFERROR(((K10/D10*100)+(M10/F10*100)+(76-((((1.76*G10-N10)/G10)*100)-100))+(76-((((1.76*I10-P10)/I10)*100)-100))),((K10/D10*100)+(M10/F10*100)+(76-((((1.76*G10-N10)/G10)*100)-100))))),(_xlfn.IFERROR(((K10/D10*100)+(M10/F10*100)+(((1.76*G10-N10)/G10)*100))+(((1.76*I10-P10)/I10)*100),((K10/D10*100)+(M10/F10*100)+(((1.76*G10-N10)/G10)*100)))))</f>
        <v>#VALUE!</v>
      </c>
      <c r="AN10" s="169">
        <f aca="true" t="shared" si="21" ref="AN10:AN15">IF(AK10&gt;24,(((K10/D10*100)+(M10/F10*100)+(76-((((1.76*G10-N10)/G10)*100)-100)))),(((K10/D10*100)+(M10/F10*100)+(((1.76*G10-N10)/G10)*100))))</f>
        <v>276</v>
      </c>
      <c r="AO10" s="18">
        <f aca="true" t="shared" si="22" ref="AO10:AO15">_xlfn.IFERROR(AM10,AN10)</f>
        <v>276</v>
      </c>
    </row>
    <row r="11" spans="1:41" s="18" customFormat="1" ht="16.5" customHeight="1">
      <c r="A11" s="125">
        <f>'03. SKP-KPT'!B14</f>
        <v>2</v>
      </c>
      <c r="B11" s="126" t="str">
        <f>'03. SKP-KPT'!C14</f>
        <v>Membimbing mahasiswa seminar</v>
      </c>
      <c r="C11" s="127">
        <f>'03. SKP-KPT'!F14</f>
        <v>2</v>
      </c>
      <c r="D11" s="152">
        <f>'03. SKP-KPT'!G14</f>
        <v>2</v>
      </c>
      <c r="E11" s="153" t="str">
        <f>'03. SKP-KPT'!H14</f>
        <v>semester</v>
      </c>
      <c r="F11" s="154">
        <f>'03. SKP-KPT'!I14</f>
        <v>100</v>
      </c>
      <c r="G11" s="152">
        <f>'03. SKP-KPT'!J14</f>
        <v>12</v>
      </c>
      <c r="H11" s="154" t="str">
        <f>'03. SKP-KPT'!K14</f>
        <v>bln</v>
      </c>
      <c r="I11" s="155" t="str">
        <f>'03. SKP-KPT'!L14</f>
        <v>-</v>
      </c>
      <c r="J11" s="128">
        <f aca="true" t="shared" si="23" ref="J11:J25">C11</f>
        <v>2</v>
      </c>
      <c r="K11" s="454">
        <f t="shared" si="0"/>
        <v>2</v>
      </c>
      <c r="L11" s="455" t="str">
        <f t="shared" si="1"/>
        <v>semester</v>
      </c>
      <c r="M11" s="456">
        <f aca="true" t="shared" si="24" ref="M11:M25">K11/D11*100</f>
        <v>100</v>
      </c>
      <c r="N11" s="454">
        <v>12</v>
      </c>
      <c r="O11" s="457" t="str">
        <f t="shared" si="2"/>
        <v>bln</v>
      </c>
      <c r="P11" s="458" t="s">
        <v>90</v>
      </c>
      <c r="Q11" s="163">
        <f t="shared" si="3"/>
        <v>276</v>
      </c>
      <c r="R11" s="161">
        <f t="shared" si="4"/>
        <v>92</v>
      </c>
      <c r="T11" s="18">
        <f t="shared" si="5"/>
        <v>1</v>
      </c>
      <c r="U11" s="18">
        <f t="shared" si="6"/>
        <v>92</v>
      </c>
      <c r="W11" s="18">
        <f t="shared" si="7"/>
        <v>0</v>
      </c>
      <c r="X11" s="41" t="e">
        <f t="shared" si="8"/>
        <v>#VALUE!</v>
      </c>
      <c r="Y11" s="18">
        <f t="shared" si="9"/>
        <v>100</v>
      </c>
      <c r="Z11" s="18">
        <f t="shared" si="10"/>
        <v>100</v>
      </c>
      <c r="AA11" s="37">
        <f t="shared" si="11"/>
        <v>76.00000000000001</v>
      </c>
      <c r="AB11" s="37" t="e">
        <f t="shared" si="12"/>
        <v>#VALUE!</v>
      </c>
      <c r="AC11" s="18">
        <f t="shared" si="13"/>
        <v>76.00000000000001</v>
      </c>
      <c r="AD11" s="18">
        <f t="shared" si="14"/>
        <v>99.99999999999999</v>
      </c>
      <c r="AE11" s="117" t="e">
        <f t="shared" si="15"/>
        <v>#VALUE!</v>
      </c>
      <c r="AF11" s="117" t="e">
        <f t="shared" si="16"/>
        <v>#VALUE!</v>
      </c>
      <c r="AG11" s="117">
        <f t="shared" si="17"/>
        <v>276</v>
      </c>
      <c r="AH11" s="117"/>
      <c r="AK11" s="42">
        <f t="shared" si="18"/>
        <v>0</v>
      </c>
      <c r="AL11" s="43" t="e">
        <f t="shared" si="19"/>
        <v>#VALUE!</v>
      </c>
      <c r="AM11" s="37" t="e">
        <f t="shared" si="20"/>
        <v>#VALUE!</v>
      </c>
      <c r="AN11" s="169">
        <f t="shared" si="21"/>
        <v>276</v>
      </c>
      <c r="AO11" s="18">
        <f t="shared" si="22"/>
        <v>276</v>
      </c>
    </row>
    <row r="12" spans="1:41" s="18" customFormat="1" ht="25.5">
      <c r="A12" s="121">
        <f>'03. SKP-KPT'!B15</f>
        <v>3</v>
      </c>
      <c r="B12" s="115" t="str">
        <f>'03. SKP-KPT'!C15</f>
        <v>Membimbing mahasiswa KKN, Praktek Kerja Nyata, Praktek Kerja Lapangan</v>
      </c>
      <c r="C12" s="128">
        <f>'03. SKP-KPT'!F15</f>
        <v>2</v>
      </c>
      <c r="D12" s="156">
        <f>'03. SKP-KPT'!G15</f>
        <v>2</v>
      </c>
      <c r="E12" s="157" t="str">
        <f>'03. SKP-KPT'!H15</f>
        <v>semester</v>
      </c>
      <c r="F12" s="158">
        <f>'03. SKP-KPT'!I15</f>
        <v>100</v>
      </c>
      <c r="G12" s="156">
        <f>'03. SKP-KPT'!J15</f>
        <v>12</v>
      </c>
      <c r="H12" s="158" t="str">
        <f>'03. SKP-KPT'!K15</f>
        <v>bln</v>
      </c>
      <c r="I12" s="159" t="str">
        <f>'03. SKP-KPT'!L15</f>
        <v>-</v>
      </c>
      <c r="J12" s="128">
        <f t="shared" si="23"/>
        <v>2</v>
      </c>
      <c r="K12" s="459">
        <f t="shared" si="0"/>
        <v>2</v>
      </c>
      <c r="L12" s="460" t="str">
        <f t="shared" si="1"/>
        <v>semester</v>
      </c>
      <c r="M12" s="456">
        <f t="shared" si="24"/>
        <v>100</v>
      </c>
      <c r="N12" s="459">
        <v>12</v>
      </c>
      <c r="O12" s="461" t="str">
        <f t="shared" si="2"/>
        <v>bln</v>
      </c>
      <c r="P12" s="462" t="s">
        <v>90</v>
      </c>
      <c r="Q12" s="164">
        <f t="shared" si="3"/>
        <v>276</v>
      </c>
      <c r="R12" s="164">
        <f t="shared" si="4"/>
        <v>92</v>
      </c>
      <c r="T12" s="18">
        <f t="shared" si="5"/>
        <v>1</v>
      </c>
      <c r="U12" s="18">
        <f t="shared" si="6"/>
        <v>92</v>
      </c>
      <c r="W12" s="18">
        <f t="shared" si="7"/>
        <v>0</v>
      </c>
      <c r="X12" s="41" t="e">
        <f t="shared" si="8"/>
        <v>#VALUE!</v>
      </c>
      <c r="Y12" s="18">
        <f t="shared" si="9"/>
        <v>100</v>
      </c>
      <c r="Z12" s="18">
        <f t="shared" si="10"/>
        <v>100</v>
      </c>
      <c r="AA12" s="37">
        <f t="shared" si="11"/>
        <v>76.00000000000001</v>
      </c>
      <c r="AB12" s="37" t="e">
        <f t="shared" si="12"/>
        <v>#VALUE!</v>
      </c>
      <c r="AC12" s="18">
        <f t="shared" si="13"/>
        <v>76.00000000000001</v>
      </c>
      <c r="AD12" s="18">
        <f t="shared" si="14"/>
        <v>99.99999999999999</v>
      </c>
      <c r="AE12" s="117" t="e">
        <f t="shared" si="15"/>
        <v>#VALUE!</v>
      </c>
      <c r="AF12" s="117" t="e">
        <f t="shared" si="16"/>
        <v>#VALUE!</v>
      </c>
      <c r="AG12" s="117">
        <f t="shared" si="17"/>
        <v>276</v>
      </c>
      <c r="AH12" s="117"/>
      <c r="AK12" s="42">
        <f t="shared" si="18"/>
        <v>0</v>
      </c>
      <c r="AL12" s="43" t="e">
        <f t="shared" si="19"/>
        <v>#VALUE!</v>
      </c>
      <c r="AM12" s="37" t="e">
        <f t="shared" si="20"/>
        <v>#VALUE!</v>
      </c>
      <c r="AN12" s="169">
        <f t="shared" si="21"/>
        <v>276</v>
      </c>
      <c r="AO12" s="18">
        <f t="shared" si="22"/>
        <v>276</v>
      </c>
    </row>
    <row r="13" spans="1:41" s="18" customFormat="1" ht="25.5">
      <c r="A13" s="120">
        <f>'03. SKP-KPT'!B16</f>
        <v>4</v>
      </c>
      <c r="B13" s="114" t="str">
        <f>'03. SKP-KPT'!C16</f>
        <v>Membimbing dan ikut membimbing dalam menghasilkan skripsi, thesis, disertasi</v>
      </c>
      <c r="C13" s="123">
        <f>'03. SKP-KPT'!F16</f>
        <v>4</v>
      </c>
      <c r="D13" s="148">
        <f>'03. SKP-KPT'!G16</f>
        <v>8</v>
      </c>
      <c r="E13" s="149" t="str">
        <f>'03. SKP-KPT'!H16</f>
        <v>mahasiswa</v>
      </c>
      <c r="F13" s="150">
        <f>'03. SKP-KPT'!I16</f>
        <v>100</v>
      </c>
      <c r="G13" s="148">
        <f>'03. SKP-KPT'!J16</f>
        <v>12</v>
      </c>
      <c r="H13" s="150" t="str">
        <f>'03. SKP-KPT'!K16</f>
        <v>bln</v>
      </c>
      <c r="I13" s="151" t="str">
        <f>'03. SKP-KPT'!L16</f>
        <v>-</v>
      </c>
      <c r="J13" s="128">
        <f t="shared" si="23"/>
        <v>4</v>
      </c>
      <c r="K13" s="449">
        <f t="shared" si="0"/>
        <v>8</v>
      </c>
      <c r="L13" s="450" t="str">
        <f t="shared" si="1"/>
        <v>mahasiswa</v>
      </c>
      <c r="M13" s="456" t="s">
        <v>90</v>
      </c>
      <c r="N13" s="449">
        <v>12</v>
      </c>
      <c r="O13" s="452" t="str">
        <f t="shared" si="2"/>
        <v>bln</v>
      </c>
      <c r="P13" s="453" t="s">
        <v>90</v>
      </c>
      <c r="Q13" s="161" t="s">
        <v>90</v>
      </c>
      <c r="R13" s="161" t="s">
        <v>90</v>
      </c>
      <c r="T13" s="18">
        <f t="shared" si="5"/>
        <v>1</v>
      </c>
      <c r="U13" s="18" t="str">
        <f t="shared" si="6"/>
        <v>-</v>
      </c>
      <c r="W13" s="18">
        <f t="shared" si="7"/>
        <v>0</v>
      </c>
      <c r="X13" s="41" t="e">
        <f t="shared" si="8"/>
        <v>#VALUE!</v>
      </c>
      <c r="Y13" s="18">
        <f t="shared" si="9"/>
        <v>100</v>
      </c>
      <c r="Z13" s="18" t="e">
        <f t="shared" si="10"/>
        <v>#VALUE!</v>
      </c>
      <c r="AA13" s="37">
        <f t="shared" si="11"/>
        <v>76.00000000000001</v>
      </c>
      <c r="AB13" s="37" t="e">
        <f t="shared" si="12"/>
        <v>#VALUE!</v>
      </c>
      <c r="AC13" s="18">
        <f t="shared" si="13"/>
        <v>76.00000000000001</v>
      </c>
      <c r="AD13" s="18">
        <f t="shared" si="14"/>
        <v>99.99999999999999</v>
      </c>
      <c r="AE13" s="117" t="e">
        <f t="shared" si="15"/>
        <v>#VALUE!</v>
      </c>
      <c r="AF13" s="117" t="e">
        <f t="shared" si="16"/>
        <v>#VALUE!</v>
      </c>
      <c r="AG13" s="117" t="e">
        <f t="shared" si="17"/>
        <v>#VALUE!</v>
      </c>
      <c r="AH13" s="117"/>
      <c r="AK13" s="42">
        <f t="shared" si="18"/>
        <v>0</v>
      </c>
      <c r="AL13" s="43" t="e">
        <f t="shared" si="19"/>
        <v>#VALUE!</v>
      </c>
      <c r="AM13" s="37" t="e">
        <f t="shared" si="20"/>
        <v>#VALUE!</v>
      </c>
      <c r="AN13" s="169" t="e">
        <f t="shared" si="21"/>
        <v>#VALUE!</v>
      </c>
      <c r="AO13" s="18" t="e">
        <f t="shared" si="22"/>
        <v>#VALUE!</v>
      </c>
    </row>
    <row r="14" spans="1:41" s="18" customFormat="1" ht="25.5">
      <c r="A14" s="121">
        <f>'03. SKP-KPT'!B17</f>
        <v>5</v>
      </c>
      <c r="B14" s="115" t="str">
        <f>'03. SKP-KPT'!C17</f>
        <v>Menjadi penguji Ujian Akhir baik sebagai ketua maupun anggota</v>
      </c>
      <c r="C14" s="128">
        <f>'03. SKP-KPT'!F17</f>
        <v>6</v>
      </c>
      <c r="D14" s="156">
        <f>'03. SKP-KPT'!G17</f>
        <v>6</v>
      </c>
      <c r="E14" s="157" t="str">
        <f>'03. SKP-KPT'!H17</f>
        <v>mahasiswa</v>
      </c>
      <c r="F14" s="158">
        <f>'03. SKP-KPT'!I17</f>
        <v>100</v>
      </c>
      <c r="G14" s="156">
        <f>'03. SKP-KPT'!J17</f>
        <v>12</v>
      </c>
      <c r="H14" s="158" t="str">
        <f>'03. SKP-KPT'!K17</f>
        <v>bln</v>
      </c>
      <c r="I14" s="159" t="str">
        <f>'03. SKP-KPT'!L17</f>
        <v>-</v>
      </c>
      <c r="J14" s="128">
        <f t="shared" si="23"/>
        <v>6</v>
      </c>
      <c r="K14" s="459">
        <f t="shared" si="0"/>
        <v>6</v>
      </c>
      <c r="L14" s="460" t="str">
        <f t="shared" si="1"/>
        <v>mahasiswa</v>
      </c>
      <c r="M14" s="456">
        <f t="shared" si="24"/>
        <v>100</v>
      </c>
      <c r="N14" s="459">
        <f>+G14</f>
        <v>12</v>
      </c>
      <c r="O14" s="461" t="str">
        <f t="shared" si="2"/>
        <v>bln</v>
      </c>
      <c r="P14" s="462" t="s">
        <v>90</v>
      </c>
      <c r="Q14" s="164">
        <f t="shared" si="3"/>
        <v>276</v>
      </c>
      <c r="R14" s="164">
        <f t="shared" si="4"/>
        <v>92</v>
      </c>
      <c r="T14" s="18">
        <f t="shared" si="5"/>
        <v>1</v>
      </c>
      <c r="U14" s="18">
        <f t="shared" si="6"/>
        <v>92</v>
      </c>
      <c r="W14" s="18">
        <f t="shared" si="7"/>
        <v>0</v>
      </c>
      <c r="X14" s="41" t="e">
        <f t="shared" si="8"/>
        <v>#VALUE!</v>
      </c>
      <c r="Y14" s="18">
        <f t="shared" si="9"/>
        <v>100</v>
      </c>
      <c r="Z14" s="18">
        <f t="shared" si="10"/>
        <v>100</v>
      </c>
      <c r="AA14" s="37">
        <f t="shared" si="11"/>
        <v>76.00000000000001</v>
      </c>
      <c r="AB14" s="37" t="e">
        <f t="shared" si="12"/>
        <v>#VALUE!</v>
      </c>
      <c r="AC14" s="18">
        <f t="shared" si="13"/>
        <v>76.00000000000001</v>
      </c>
      <c r="AD14" s="18">
        <f t="shared" si="14"/>
        <v>99.99999999999999</v>
      </c>
      <c r="AE14" s="117" t="e">
        <f t="shared" si="15"/>
        <v>#VALUE!</v>
      </c>
      <c r="AF14" s="117" t="e">
        <f t="shared" si="16"/>
        <v>#VALUE!</v>
      </c>
      <c r="AG14" s="117">
        <f t="shared" si="17"/>
        <v>276</v>
      </c>
      <c r="AH14" s="117"/>
      <c r="AK14" s="42">
        <f t="shared" si="18"/>
        <v>0</v>
      </c>
      <c r="AL14" s="43" t="e">
        <f t="shared" si="19"/>
        <v>#VALUE!</v>
      </c>
      <c r="AM14" s="37" t="e">
        <f t="shared" si="20"/>
        <v>#VALUE!</v>
      </c>
      <c r="AN14" s="169">
        <f t="shared" si="21"/>
        <v>276</v>
      </c>
      <c r="AO14" s="18">
        <f t="shared" si="22"/>
        <v>276</v>
      </c>
    </row>
    <row r="15" spans="1:41" s="18" customFormat="1" ht="25.5">
      <c r="A15" s="120">
        <f>'03. SKP-KPT'!B18</f>
        <v>6</v>
      </c>
      <c r="B15" s="114" t="str">
        <f>'03. SKP-KPT'!C18</f>
        <v>Membina kegiatan kemahasiswaan di bidang akademik dan kemahasiswaan</v>
      </c>
      <c r="C15" s="123">
        <f>'03. SKP-KPT'!F18</f>
        <v>6</v>
      </c>
      <c r="D15" s="148">
        <f>'03. SKP-KPT'!G18</f>
        <v>3</v>
      </c>
      <c r="E15" s="149" t="str">
        <f>'03. SKP-KPT'!H18</f>
        <v>semester</v>
      </c>
      <c r="F15" s="150">
        <f>'03. SKP-KPT'!I18</f>
        <v>100</v>
      </c>
      <c r="G15" s="148">
        <f>'03. SKP-KPT'!J18</f>
        <v>12</v>
      </c>
      <c r="H15" s="150" t="str">
        <f>'03. SKP-KPT'!K18</f>
        <v>bln</v>
      </c>
      <c r="I15" s="151" t="str">
        <f>'03. SKP-KPT'!L18</f>
        <v>-</v>
      </c>
      <c r="J15" s="128">
        <f t="shared" si="23"/>
        <v>6</v>
      </c>
      <c r="K15" s="449">
        <f t="shared" si="0"/>
        <v>3</v>
      </c>
      <c r="L15" s="450" t="str">
        <f>E15</f>
        <v>semester</v>
      </c>
      <c r="M15" s="456">
        <f t="shared" si="24"/>
        <v>100</v>
      </c>
      <c r="N15" s="449">
        <f>+G15</f>
        <v>12</v>
      </c>
      <c r="O15" s="452" t="str">
        <f>H15</f>
        <v>bln</v>
      </c>
      <c r="P15" s="453" t="s">
        <v>90</v>
      </c>
      <c r="Q15" s="161">
        <f t="shared" si="3"/>
        <v>276</v>
      </c>
      <c r="R15" s="161">
        <f t="shared" si="4"/>
        <v>92</v>
      </c>
      <c r="T15" s="18">
        <f t="shared" si="5"/>
        <v>1</v>
      </c>
      <c r="U15" s="18">
        <f t="shared" si="6"/>
        <v>92</v>
      </c>
      <c r="W15" s="18">
        <f t="shared" si="7"/>
        <v>0</v>
      </c>
      <c r="X15" s="41" t="e">
        <f t="shared" si="8"/>
        <v>#VALUE!</v>
      </c>
      <c r="Y15" s="18">
        <f t="shared" si="9"/>
        <v>100</v>
      </c>
      <c r="Z15" s="18">
        <f t="shared" si="10"/>
        <v>100</v>
      </c>
      <c r="AA15" s="37">
        <f t="shared" si="11"/>
        <v>76.00000000000001</v>
      </c>
      <c r="AB15" s="37" t="e">
        <f t="shared" si="12"/>
        <v>#VALUE!</v>
      </c>
      <c r="AC15" s="18">
        <f t="shared" si="13"/>
        <v>76.00000000000001</v>
      </c>
      <c r="AD15" s="18">
        <f t="shared" si="14"/>
        <v>99.99999999999999</v>
      </c>
      <c r="AE15" s="117" t="e">
        <f t="shared" si="15"/>
        <v>#VALUE!</v>
      </c>
      <c r="AF15" s="117" t="e">
        <f t="shared" si="16"/>
        <v>#VALUE!</v>
      </c>
      <c r="AG15" s="117">
        <f t="shared" si="17"/>
        <v>276</v>
      </c>
      <c r="AH15" s="117"/>
      <c r="AK15" s="42">
        <f t="shared" si="18"/>
        <v>0</v>
      </c>
      <c r="AL15" s="43" t="e">
        <f t="shared" si="19"/>
        <v>#VALUE!</v>
      </c>
      <c r="AM15" s="37" t="e">
        <f t="shared" si="20"/>
        <v>#VALUE!</v>
      </c>
      <c r="AN15" s="169">
        <f t="shared" si="21"/>
        <v>276</v>
      </c>
      <c r="AO15" s="18">
        <f t="shared" si="22"/>
        <v>276</v>
      </c>
    </row>
    <row r="16" spans="1:41" s="18" customFormat="1" ht="15" customHeight="1">
      <c r="A16" s="121">
        <f>'03. SKP-KPT'!B19</f>
        <v>7</v>
      </c>
      <c r="B16" s="115" t="str">
        <f>'03. SKP-KPT'!C19</f>
        <v>Mengembangkan bahan kuliah</v>
      </c>
      <c r="C16" s="128">
        <f>'03. SKP-KPT'!F19</f>
        <v>0</v>
      </c>
      <c r="D16" s="156">
        <f>'03. SKP-KPT'!G19</f>
        <v>0</v>
      </c>
      <c r="E16" s="157" t="str">
        <f>'03. SKP-KPT'!H19</f>
        <v>naskah</v>
      </c>
      <c r="F16" s="158">
        <f>'03. SKP-KPT'!I19</f>
        <v>100</v>
      </c>
      <c r="G16" s="156">
        <f>'03. SKP-KPT'!J19</f>
        <v>12</v>
      </c>
      <c r="H16" s="158" t="str">
        <f>'03. SKP-KPT'!K19</f>
        <v>bln</v>
      </c>
      <c r="I16" s="159" t="str">
        <f>'03. SKP-KPT'!L19</f>
        <v>-</v>
      </c>
      <c r="J16" s="128">
        <f t="shared" si="23"/>
        <v>0</v>
      </c>
      <c r="K16" s="459">
        <f t="shared" si="0"/>
        <v>0</v>
      </c>
      <c r="L16" s="460" t="str">
        <f t="shared" si="1"/>
        <v>naskah</v>
      </c>
      <c r="M16" s="456" t="s">
        <v>90</v>
      </c>
      <c r="N16" s="459">
        <f>+G16</f>
        <v>12</v>
      </c>
      <c r="O16" s="461" t="str">
        <f t="shared" si="2"/>
        <v>bln</v>
      </c>
      <c r="P16" s="462" t="s">
        <v>90</v>
      </c>
      <c r="Q16" s="164" t="s">
        <v>90</v>
      </c>
      <c r="R16" s="164" t="s">
        <v>90</v>
      </c>
      <c r="T16" s="18">
        <f aca="true" t="shared" si="25" ref="T16:T21">IF(D16&gt;0,1,0)</f>
        <v>0</v>
      </c>
      <c r="U16" s="18" t="str">
        <f aca="true" t="shared" si="26" ref="U16:U21">_xlfn.IFERROR(R16,0)</f>
        <v>-</v>
      </c>
      <c r="W16" s="18">
        <f aca="true" t="shared" si="27" ref="W16:W21">100-(N16/G16*100)</f>
        <v>0</v>
      </c>
      <c r="X16" s="41" t="e">
        <f aca="true" t="shared" si="28" ref="X16:X21">100-(P16/I16*100)</f>
        <v>#VALUE!</v>
      </c>
      <c r="Y16" s="18" t="e">
        <f aca="true" t="shared" si="29" ref="Y16:Y21">K16/D16*100</f>
        <v>#DIV/0!</v>
      </c>
      <c r="Z16" s="18" t="e">
        <f aca="true" t="shared" si="30" ref="Z16:Z21">M16/F16*100</f>
        <v>#VALUE!</v>
      </c>
      <c r="AA16" s="37">
        <f aca="true" t="shared" si="31" ref="AA16:AA21">IF(W16&gt;24,AD16,AC16)</f>
        <v>76.00000000000001</v>
      </c>
      <c r="AB16" s="37" t="e">
        <f aca="true" t="shared" si="32" ref="AB16:AB21">IF(X16&gt;24,AF16,AE16)</f>
        <v>#VALUE!</v>
      </c>
      <c r="AC16" s="18">
        <f aca="true" t="shared" si="33" ref="AC16:AC21">((1.76*G16-N16)/G16)*100</f>
        <v>76.00000000000001</v>
      </c>
      <c r="AD16" s="18">
        <f aca="true" t="shared" si="34" ref="AD16:AD21">76-((((1.76*G16-N16)/G16)*100)-100)</f>
        <v>99.99999999999999</v>
      </c>
      <c r="AE16" s="117" t="e">
        <f aca="true" t="shared" si="35" ref="AE16:AE21">((1.76*I16-P16)/I16)*100</f>
        <v>#VALUE!</v>
      </c>
      <c r="AF16" s="117" t="e">
        <f aca="true" t="shared" si="36" ref="AF16:AF21">76-((((1.76*I16-P16)/I16)*100)-100)</f>
        <v>#VALUE!</v>
      </c>
      <c r="AG16" s="117" t="e">
        <f aca="true" t="shared" si="37" ref="AG16:AG21">_xlfn.IFERROR(SUM(Y16:AB16),SUM(Y16:AA16))</f>
        <v>#DIV/0!</v>
      </c>
      <c r="AH16" s="117"/>
      <c r="AI16" s="169"/>
      <c r="AJ16" s="169"/>
      <c r="AK16" s="42">
        <f aca="true" t="shared" si="38" ref="AK16:AK21">100-(N16/G16*100)</f>
        <v>0</v>
      </c>
      <c r="AL16" s="43" t="e">
        <f aca="true" t="shared" si="39" ref="AL16:AL21">100-(P16/I16*100)</f>
        <v>#VALUE!</v>
      </c>
      <c r="AM16" s="37" t="e">
        <f aca="true" t="shared" si="40" ref="AM16:AM21">IF(AND(AK16&gt;24,AL16&gt;24),(_xlfn.IFERROR(((K16/D16*100)+(M16/F16*100)+(76-((((1.76*G16-N16)/G16)*100)-100))+(76-((((1.76*I16-P16)/I16)*100)-100))),((K16/D16*100)+(M16/F16*100)+(76-((((1.76*G16-N16)/G16)*100)-100))))),(_xlfn.IFERROR(((K16/D16*100)+(M16/F16*100)+(((1.76*G16-N16)/G16)*100))+(((1.76*I16-P16)/I16)*100),((K16/D16*100)+(M16/F16*100)+(((1.76*G16-N16)/G16)*100)))))</f>
        <v>#VALUE!</v>
      </c>
      <c r="AN16" s="169" t="e">
        <f aca="true" t="shared" si="41" ref="AN16:AN21">IF(AK16&gt;24,(((K16/D16*100)+(M16/F16*100)+(76-((((1.76*G16-N16)/G16)*100)-100)))),(((K16/D16*100)+(M16/F16*100)+(((1.76*G16-N16)/G16)*100))))</f>
        <v>#DIV/0!</v>
      </c>
      <c r="AO16" s="18" t="e">
        <f aca="true" t="shared" si="42" ref="AO16:AO21">_xlfn.IFERROR(AM16,AN16)</f>
        <v>#DIV/0!</v>
      </c>
    </row>
    <row r="17" spans="1:41" s="18" customFormat="1" ht="19.5" customHeight="1">
      <c r="A17" s="129"/>
      <c r="B17" s="174" t="str">
        <f>'03. SKP-KPT'!C20</f>
        <v>PELAKSANAAN PENELITIAN</v>
      </c>
      <c r="C17" s="123"/>
      <c r="D17" s="148"/>
      <c r="E17" s="149"/>
      <c r="F17" s="150"/>
      <c r="G17" s="148"/>
      <c r="H17" s="150"/>
      <c r="I17" s="151"/>
      <c r="J17" s="128"/>
      <c r="K17" s="449"/>
      <c r="L17" s="450"/>
      <c r="M17" s="456"/>
      <c r="N17" s="449"/>
      <c r="O17" s="452"/>
      <c r="P17" s="453"/>
      <c r="Q17" s="161"/>
      <c r="R17" s="161"/>
      <c r="T17" s="18">
        <f t="shared" si="25"/>
        <v>0</v>
      </c>
      <c r="U17" s="18">
        <f t="shared" si="26"/>
        <v>0</v>
      </c>
      <c r="W17" s="18" t="e">
        <f t="shared" si="27"/>
        <v>#DIV/0!</v>
      </c>
      <c r="X17" s="41" t="e">
        <f t="shared" si="28"/>
        <v>#DIV/0!</v>
      </c>
      <c r="Y17" s="18" t="e">
        <f t="shared" si="29"/>
        <v>#DIV/0!</v>
      </c>
      <c r="Z17" s="18" t="e">
        <f t="shared" si="30"/>
        <v>#DIV/0!</v>
      </c>
      <c r="AA17" s="37" t="e">
        <f t="shared" si="31"/>
        <v>#DIV/0!</v>
      </c>
      <c r="AB17" s="37" t="e">
        <f t="shared" si="32"/>
        <v>#DIV/0!</v>
      </c>
      <c r="AC17" s="18" t="e">
        <f t="shared" si="33"/>
        <v>#DIV/0!</v>
      </c>
      <c r="AD17" s="18" t="e">
        <f t="shared" si="34"/>
        <v>#DIV/0!</v>
      </c>
      <c r="AE17" s="117" t="e">
        <f t="shared" si="35"/>
        <v>#DIV/0!</v>
      </c>
      <c r="AF17" s="117" t="e">
        <f t="shared" si="36"/>
        <v>#DIV/0!</v>
      </c>
      <c r="AG17" s="117" t="e">
        <f t="shared" si="37"/>
        <v>#DIV/0!</v>
      </c>
      <c r="AH17" s="117"/>
      <c r="AK17" s="42" t="e">
        <f t="shared" si="38"/>
        <v>#DIV/0!</v>
      </c>
      <c r="AL17" s="43" t="e">
        <f t="shared" si="39"/>
        <v>#DIV/0!</v>
      </c>
      <c r="AM17" s="37" t="e">
        <f t="shared" si="40"/>
        <v>#DIV/0!</v>
      </c>
      <c r="AN17" s="169" t="e">
        <f t="shared" si="41"/>
        <v>#DIV/0!</v>
      </c>
      <c r="AO17" s="18" t="e">
        <f t="shared" si="42"/>
        <v>#DIV/0!</v>
      </c>
    </row>
    <row r="18" spans="1:41" s="18" customFormat="1" ht="15" customHeight="1">
      <c r="A18" s="121">
        <f>'03. SKP-KPT'!B21</f>
        <v>1</v>
      </c>
      <c r="B18" s="115" t="str">
        <f>'03. SKP-KPT'!C21</f>
        <v>Menghasilkan karya ilmiah</v>
      </c>
      <c r="C18" s="128">
        <f>'03. SKP-KPT'!F21</f>
        <v>36</v>
      </c>
      <c r="D18" s="156">
        <f>'03. SKP-KPT'!G21</f>
        <v>3</v>
      </c>
      <c r="E18" s="157" t="str">
        <f>'03. SKP-KPT'!H21</f>
        <v>karya</v>
      </c>
      <c r="F18" s="158">
        <f>'03. SKP-KPT'!I21</f>
        <v>100</v>
      </c>
      <c r="G18" s="156">
        <f>'03. SKP-KPT'!J21</f>
        <v>12</v>
      </c>
      <c r="H18" s="158" t="str">
        <f>'03. SKP-KPT'!K21</f>
        <v>bln</v>
      </c>
      <c r="I18" s="159" t="str">
        <f>'03. SKP-KPT'!L21</f>
        <v>-</v>
      </c>
      <c r="J18" s="128">
        <f t="shared" si="23"/>
        <v>36</v>
      </c>
      <c r="K18" s="459">
        <f>+D18</f>
        <v>3</v>
      </c>
      <c r="L18" s="460" t="str">
        <f>E18</f>
        <v>karya</v>
      </c>
      <c r="M18" s="456">
        <f t="shared" si="24"/>
        <v>100</v>
      </c>
      <c r="N18" s="459">
        <v>12</v>
      </c>
      <c r="O18" s="461" t="str">
        <f>H18</f>
        <v>bln</v>
      </c>
      <c r="P18" s="462" t="s">
        <v>90</v>
      </c>
      <c r="Q18" s="164">
        <f>AG18</f>
        <v>276</v>
      </c>
      <c r="R18" s="164">
        <f>IF(I18="-",IF(P18="-",Q18/3,Q18/4),Q18/4)</f>
        <v>92</v>
      </c>
      <c r="T18" s="18">
        <f t="shared" si="25"/>
        <v>1</v>
      </c>
      <c r="U18" s="18">
        <f t="shared" si="26"/>
        <v>92</v>
      </c>
      <c r="W18" s="18">
        <f t="shared" si="27"/>
        <v>0</v>
      </c>
      <c r="X18" s="41" t="e">
        <f t="shared" si="28"/>
        <v>#VALUE!</v>
      </c>
      <c r="Y18" s="18">
        <f t="shared" si="29"/>
        <v>100</v>
      </c>
      <c r="Z18" s="18">
        <f t="shared" si="30"/>
        <v>100</v>
      </c>
      <c r="AA18" s="37">
        <f t="shared" si="31"/>
        <v>76.00000000000001</v>
      </c>
      <c r="AB18" s="37" t="e">
        <f t="shared" si="32"/>
        <v>#VALUE!</v>
      </c>
      <c r="AC18" s="18">
        <f t="shared" si="33"/>
        <v>76.00000000000001</v>
      </c>
      <c r="AD18" s="18">
        <f t="shared" si="34"/>
        <v>99.99999999999999</v>
      </c>
      <c r="AE18" s="117" t="e">
        <f t="shared" si="35"/>
        <v>#VALUE!</v>
      </c>
      <c r="AF18" s="117" t="e">
        <f t="shared" si="36"/>
        <v>#VALUE!</v>
      </c>
      <c r="AG18" s="117">
        <f t="shared" si="37"/>
        <v>276</v>
      </c>
      <c r="AH18" s="117"/>
      <c r="AK18" s="37">
        <f t="shared" si="38"/>
        <v>0</v>
      </c>
      <c r="AL18" s="38" t="e">
        <f t="shared" si="39"/>
        <v>#VALUE!</v>
      </c>
      <c r="AM18" s="37" t="e">
        <f t="shared" si="40"/>
        <v>#VALUE!</v>
      </c>
      <c r="AN18" s="169">
        <f t="shared" si="41"/>
        <v>276</v>
      </c>
      <c r="AO18" s="18">
        <f t="shared" si="42"/>
        <v>276</v>
      </c>
    </row>
    <row r="19" spans="1:41" s="18" customFormat="1" ht="22.5" customHeight="1">
      <c r="A19" s="129"/>
      <c r="B19" s="174" t="str">
        <f>'03. SKP-KPT'!C22</f>
        <v>PELAKSANAAN PENGABDIAN KEPADA MASYARAKAT</v>
      </c>
      <c r="C19" s="123"/>
      <c r="D19" s="148"/>
      <c r="E19" s="149"/>
      <c r="F19" s="150"/>
      <c r="G19" s="148"/>
      <c r="H19" s="150"/>
      <c r="I19" s="151"/>
      <c r="J19" s="128"/>
      <c r="K19" s="449"/>
      <c r="L19" s="450"/>
      <c r="M19" s="456"/>
      <c r="N19" s="449"/>
      <c r="O19" s="452"/>
      <c r="P19" s="453"/>
      <c r="Q19" s="161"/>
      <c r="R19" s="161"/>
      <c r="T19" s="18">
        <f t="shared" si="25"/>
        <v>0</v>
      </c>
      <c r="U19" s="18">
        <f t="shared" si="26"/>
        <v>0</v>
      </c>
      <c r="W19" s="18" t="e">
        <f t="shared" si="27"/>
        <v>#DIV/0!</v>
      </c>
      <c r="X19" s="41" t="e">
        <f t="shared" si="28"/>
        <v>#DIV/0!</v>
      </c>
      <c r="Y19" s="18" t="e">
        <f t="shared" si="29"/>
        <v>#DIV/0!</v>
      </c>
      <c r="Z19" s="18" t="e">
        <f t="shared" si="30"/>
        <v>#DIV/0!</v>
      </c>
      <c r="AA19" s="37" t="e">
        <f t="shared" si="31"/>
        <v>#DIV/0!</v>
      </c>
      <c r="AB19" s="37" t="e">
        <f t="shared" si="32"/>
        <v>#DIV/0!</v>
      </c>
      <c r="AC19" s="18" t="e">
        <f t="shared" si="33"/>
        <v>#DIV/0!</v>
      </c>
      <c r="AD19" s="18" t="e">
        <f t="shared" si="34"/>
        <v>#DIV/0!</v>
      </c>
      <c r="AE19" s="117" t="e">
        <f t="shared" si="35"/>
        <v>#DIV/0!</v>
      </c>
      <c r="AF19" s="117" t="e">
        <f t="shared" si="36"/>
        <v>#DIV/0!</v>
      </c>
      <c r="AG19" s="117" t="e">
        <f t="shared" si="37"/>
        <v>#DIV/0!</v>
      </c>
      <c r="AH19" s="117"/>
      <c r="AK19" s="37" t="e">
        <f t="shared" si="38"/>
        <v>#DIV/0!</v>
      </c>
      <c r="AL19" s="38" t="e">
        <f t="shared" si="39"/>
        <v>#DIV/0!</v>
      </c>
      <c r="AM19" s="37" t="e">
        <f t="shared" si="40"/>
        <v>#DIV/0!</v>
      </c>
      <c r="AN19" s="169" t="e">
        <f t="shared" si="41"/>
        <v>#DIV/0!</v>
      </c>
      <c r="AO19" s="18" t="e">
        <f t="shared" si="42"/>
        <v>#DIV/0!</v>
      </c>
    </row>
    <row r="20" spans="1:41" s="18" customFormat="1" ht="23.25" customHeight="1">
      <c r="A20" s="121">
        <f>'03. SKP-KPT'!B23</f>
        <v>1</v>
      </c>
      <c r="B20" s="115" t="str">
        <f>'03. SKP-KPT'!C23</f>
        <v>Melaksanan kegiatan Pengabdian Kepada Masyarakat</v>
      </c>
      <c r="C20" s="128">
        <f>'03. SKP-KPT'!F23</f>
        <v>10</v>
      </c>
      <c r="D20" s="156">
        <f>'03. SKP-KPT'!G23</f>
        <v>6</v>
      </c>
      <c r="E20" s="157" t="str">
        <f>'03. SKP-KPT'!H23</f>
        <v>Kegiatan</v>
      </c>
      <c r="F20" s="158">
        <f>'03. SKP-KPT'!I23</f>
        <v>100</v>
      </c>
      <c r="G20" s="156">
        <f>'03. SKP-KPT'!J23</f>
        <v>12</v>
      </c>
      <c r="H20" s="158" t="str">
        <f>'03. SKP-KPT'!K23</f>
        <v>bln</v>
      </c>
      <c r="I20" s="159" t="str">
        <f>'03. SKP-KPT'!L23</f>
        <v>-</v>
      </c>
      <c r="J20" s="128">
        <f t="shared" si="23"/>
        <v>10</v>
      </c>
      <c r="K20" s="459">
        <f>+D20</f>
        <v>6</v>
      </c>
      <c r="L20" s="460" t="str">
        <f>E20</f>
        <v>Kegiatan</v>
      </c>
      <c r="M20" s="456">
        <f t="shared" si="24"/>
        <v>100</v>
      </c>
      <c r="N20" s="459">
        <f>+G20</f>
        <v>12</v>
      </c>
      <c r="O20" s="461" t="str">
        <f>H20</f>
        <v>bln</v>
      </c>
      <c r="P20" s="462" t="s">
        <v>90</v>
      </c>
      <c r="Q20" s="164">
        <f>AG20</f>
        <v>276</v>
      </c>
      <c r="R20" s="164">
        <f>IF(I20="-",IF(P20="-",Q20/3,Q20/4),Q20/4)</f>
        <v>92</v>
      </c>
      <c r="T20" s="18">
        <f t="shared" si="25"/>
        <v>1</v>
      </c>
      <c r="U20" s="18">
        <f t="shared" si="26"/>
        <v>92</v>
      </c>
      <c r="W20" s="18">
        <f t="shared" si="27"/>
        <v>0</v>
      </c>
      <c r="X20" s="41" t="e">
        <f t="shared" si="28"/>
        <v>#VALUE!</v>
      </c>
      <c r="Y20" s="18">
        <f t="shared" si="29"/>
        <v>100</v>
      </c>
      <c r="Z20" s="18">
        <f t="shared" si="30"/>
        <v>100</v>
      </c>
      <c r="AA20" s="37">
        <f t="shared" si="31"/>
        <v>76.00000000000001</v>
      </c>
      <c r="AB20" s="37" t="e">
        <f t="shared" si="32"/>
        <v>#VALUE!</v>
      </c>
      <c r="AC20" s="18">
        <f t="shared" si="33"/>
        <v>76.00000000000001</v>
      </c>
      <c r="AD20" s="18">
        <f t="shared" si="34"/>
        <v>99.99999999999999</v>
      </c>
      <c r="AE20" s="117" t="e">
        <f t="shared" si="35"/>
        <v>#VALUE!</v>
      </c>
      <c r="AF20" s="117" t="e">
        <f t="shared" si="36"/>
        <v>#VALUE!</v>
      </c>
      <c r="AG20" s="117">
        <f t="shared" si="37"/>
        <v>276</v>
      </c>
      <c r="AH20" s="117"/>
      <c r="AK20" s="37">
        <f t="shared" si="38"/>
        <v>0</v>
      </c>
      <c r="AL20" s="38" t="e">
        <f t="shared" si="39"/>
        <v>#VALUE!</v>
      </c>
      <c r="AM20" s="37" t="e">
        <f t="shared" si="40"/>
        <v>#VALUE!</v>
      </c>
      <c r="AN20" s="169">
        <f t="shared" si="41"/>
        <v>276</v>
      </c>
      <c r="AO20" s="18">
        <f t="shared" si="42"/>
        <v>276</v>
      </c>
    </row>
    <row r="21" spans="1:41" s="18" customFormat="1" ht="22.5" customHeight="1">
      <c r="A21" s="129"/>
      <c r="B21" s="174" t="str">
        <f>'03. SKP-KPT'!C24</f>
        <v>MENDUDUKI JABATAN PIMPINAN DI PERGURUAN TINGGI</v>
      </c>
      <c r="C21" s="123"/>
      <c r="D21" s="148"/>
      <c r="E21" s="149"/>
      <c r="F21" s="150"/>
      <c r="G21" s="148"/>
      <c r="H21" s="150"/>
      <c r="I21" s="151"/>
      <c r="J21" s="128"/>
      <c r="K21" s="449"/>
      <c r="L21" s="450"/>
      <c r="M21" s="456"/>
      <c r="N21" s="449"/>
      <c r="O21" s="452"/>
      <c r="P21" s="453"/>
      <c r="Q21" s="161"/>
      <c r="R21" s="161"/>
      <c r="T21" s="18">
        <f t="shared" si="25"/>
        <v>0</v>
      </c>
      <c r="U21" s="18">
        <f t="shared" si="26"/>
        <v>0</v>
      </c>
      <c r="W21" s="18" t="e">
        <f t="shared" si="27"/>
        <v>#DIV/0!</v>
      </c>
      <c r="X21" s="41" t="e">
        <f t="shared" si="28"/>
        <v>#DIV/0!</v>
      </c>
      <c r="Y21" s="18" t="e">
        <f t="shared" si="29"/>
        <v>#DIV/0!</v>
      </c>
      <c r="Z21" s="18" t="e">
        <f t="shared" si="30"/>
        <v>#DIV/0!</v>
      </c>
      <c r="AA21" s="37" t="e">
        <f t="shared" si="31"/>
        <v>#DIV/0!</v>
      </c>
      <c r="AB21" s="37" t="e">
        <f t="shared" si="32"/>
        <v>#DIV/0!</v>
      </c>
      <c r="AC21" s="18" t="e">
        <f t="shared" si="33"/>
        <v>#DIV/0!</v>
      </c>
      <c r="AD21" s="18" t="e">
        <f t="shared" si="34"/>
        <v>#DIV/0!</v>
      </c>
      <c r="AE21" s="117" t="e">
        <f t="shared" si="35"/>
        <v>#DIV/0!</v>
      </c>
      <c r="AF21" s="117" t="e">
        <f t="shared" si="36"/>
        <v>#DIV/0!</v>
      </c>
      <c r="AG21" s="117" t="e">
        <f t="shared" si="37"/>
        <v>#DIV/0!</v>
      </c>
      <c r="AH21" s="117"/>
      <c r="AK21" s="37" t="e">
        <f t="shared" si="38"/>
        <v>#DIV/0!</v>
      </c>
      <c r="AL21" s="38" t="e">
        <f t="shared" si="39"/>
        <v>#DIV/0!</v>
      </c>
      <c r="AM21" s="37" t="e">
        <f t="shared" si="40"/>
        <v>#DIV/0!</v>
      </c>
      <c r="AN21" s="169" t="e">
        <f t="shared" si="41"/>
        <v>#DIV/0!</v>
      </c>
      <c r="AO21" s="18" t="e">
        <f t="shared" si="42"/>
        <v>#DIV/0!</v>
      </c>
    </row>
    <row r="22" spans="1:40" s="18" customFormat="1" ht="15" customHeight="1">
      <c r="A22" s="121"/>
      <c r="B22" s="175" t="str">
        <f>'03. SKP-KPT'!C25</f>
        <v>GENAP 2017/2018</v>
      </c>
      <c r="C22" s="128"/>
      <c r="D22" s="156"/>
      <c r="E22" s="157"/>
      <c r="F22" s="158"/>
      <c r="G22" s="156"/>
      <c r="H22" s="158"/>
      <c r="I22" s="159"/>
      <c r="J22" s="128"/>
      <c r="K22" s="459"/>
      <c r="L22" s="460"/>
      <c r="M22" s="456"/>
      <c r="N22" s="459"/>
      <c r="O22" s="461"/>
      <c r="P22" s="462"/>
      <c r="Q22" s="164"/>
      <c r="R22" s="164"/>
      <c r="X22" s="41"/>
      <c r="AA22" s="37"/>
      <c r="AB22" s="37"/>
      <c r="AE22" s="117"/>
      <c r="AF22" s="117"/>
      <c r="AG22" s="117"/>
      <c r="AH22" s="117"/>
      <c r="AK22" s="37"/>
      <c r="AL22" s="38"/>
      <c r="AM22" s="37"/>
      <c r="AN22" s="169"/>
    </row>
    <row r="23" spans="1:41" s="18" customFormat="1" ht="15" customHeight="1">
      <c r="A23" s="121">
        <f>'03. SKP-KPT'!B26</f>
        <v>1</v>
      </c>
      <c r="B23" s="115" t="str">
        <f>'03. SKP-KPT'!C26</f>
        <v>Ketua Program Studi Arsitektur Lanskap</v>
      </c>
      <c r="C23" s="128">
        <f>'03. SKP-KPT'!F26</f>
        <v>3</v>
      </c>
      <c r="D23" s="156">
        <f>'03. SKP-KPT'!G26</f>
        <v>1</v>
      </c>
      <c r="E23" s="157" t="str">
        <f>'03. SKP-KPT'!H26</f>
        <v>semester</v>
      </c>
      <c r="F23" s="158">
        <f>'03. SKP-KPT'!I26</f>
        <v>100</v>
      </c>
      <c r="G23" s="156">
        <f>'03. SKP-KPT'!J26</f>
        <v>6</v>
      </c>
      <c r="H23" s="158" t="str">
        <f>'03. SKP-KPT'!K26</f>
        <v>bln</v>
      </c>
      <c r="I23" s="159" t="str">
        <f>'03. SKP-KPT'!L26</f>
        <v>-</v>
      </c>
      <c r="J23" s="128">
        <f t="shared" si="23"/>
        <v>3</v>
      </c>
      <c r="K23" s="459">
        <f>+D23</f>
        <v>1</v>
      </c>
      <c r="L23" s="460" t="str">
        <f>E23</f>
        <v>semester</v>
      </c>
      <c r="M23" s="456">
        <f t="shared" si="24"/>
        <v>100</v>
      </c>
      <c r="N23" s="459">
        <f>+G23</f>
        <v>6</v>
      </c>
      <c r="O23" s="461" t="str">
        <f>H23</f>
        <v>bln</v>
      </c>
      <c r="P23" s="462" t="s">
        <v>90</v>
      </c>
      <c r="Q23" s="164">
        <f>AG23</f>
        <v>276</v>
      </c>
      <c r="R23" s="164">
        <f>IF(I23="-",IF(P23="-",Q23/3,Q23/4),Q23/4)</f>
        <v>92</v>
      </c>
      <c r="T23" s="18">
        <f>IF(D23&gt;0,1,0)</f>
        <v>1</v>
      </c>
      <c r="U23" s="18">
        <f>_xlfn.IFERROR(R23,0)</f>
        <v>92</v>
      </c>
      <c r="W23" s="18">
        <f>100-(N23/G23*100)</f>
        <v>0</v>
      </c>
      <c r="X23" s="41" t="e">
        <f>100-(P23/I23*100)</f>
        <v>#VALUE!</v>
      </c>
      <c r="Y23" s="18">
        <f>K23/D23*100</f>
        <v>100</v>
      </c>
      <c r="Z23" s="18">
        <f>M23/F23*100</f>
        <v>100</v>
      </c>
      <c r="AA23" s="37">
        <f>IF(W23&gt;24,AD23,AC23)</f>
        <v>76.00000000000001</v>
      </c>
      <c r="AB23" s="37" t="e">
        <f>IF(X23&gt;24,AF23,AE23)</f>
        <v>#VALUE!</v>
      </c>
      <c r="AC23" s="18">
        <f>((1.76*G23-N23)/G23)*100</f>
        <v>76.00000000000001</v>
      </c>
      <c r="AD23" s="18">
        <f>76-((((1.76*G23-N23)/G23)*100)-100)</f>
        <v>99.99999999999999</v>
      </c>
      <c r="AE23" s="117" t="e">
        <f>((1.76*I23-P23)/I23)*100</f>
        <v>#VALUE!</v>
      </c>
      <c r="AF23" s="117" t="e">
        <f>76-((((1.76*I23-P23)/I23)*100)-100)</f>
        <v>#VALUE!</v>
      </c>
      <c r="AG23" s="117">
        <f>_xlfn.IFERROR(SUM(Y23:AB23),SUM(Y23:AA23))</f>
        <v>276</v>
      </c>
      <c r="AH23" s="117"/>
      <c r="AK23" s="37">
        <f>100-(N23/G23*100)</f>
        <v>0</v>
      </c>
      <c r="AL23" s="38" t="e">
        <f>100-(P23/I23*100)</f>
        <v>#VALUE!</v>
      </c>
      <c r="AM23" s="37" t="e">
        <f>IF(AND(AK23&gt;24,AL23&gt;24),(_xlfn.IFERROR(((K23/D23*100)+(M23/F23*100)+(76-((((1.76*G23-N23)/G23)*100)-100))+(76-((((1.76*I23-P23)/I23)*100)-100))),((K23/D23*100)+(M23/F23*100)+(76-((((1.76*G23-N23)/G23)*100)-100))))),(_xlfn.IFERROR(((K23/D23*100)+(M23/F23*100)+(((1.76*G23-N23)/G23)*100))+(((1.76*I23-P23)/I23)*100),((K23/D23*100)+(M23/F23*100)+(((1.76*G23-N23)/G23)*100)))))</f>
        <v>#VALUE!</v>
      </c>
      <c r="AN23" s="169">
        <f>IF(AK23&gt;24,(((K23/D23*100)+(M23/F23*100)+(76-((((1.76*G23-N23)/G23)*100)-100)))),(((K23/D23*100)+(M23/F23*100)+(((1.76*G23-N23)/G23)*100))))</f>
        <v>276</v>
      </c>
      <c r="AO23" s="18">
        <f>_xlfn.IFERROR(AM23,AN23)</f>
        <v>276</v>
      </c>
    </row>
    <row r="24" spans="1:40" s="18" customFormat="1" ht="15" customHeight="1">
      <c r="A24" s="121"/>
      <c r="B24" s="175" t="str">
        <f>'03. SKP-KPT'!C27</f>
        <v>GANJIL 2018/2019</v>
      </c>
      <c r="C24" s="128"/>
      <c r="D24" s="156"/>
      <c r="E24" s="157"/>
      <c r="F24" s="158"/>
      <c r="G24" s="156"/>
      <c r="H24" s="158"/>
      <c r="I24" s="159"/>
      <c r="J24" s="128"/>
      <c r="K24" s="459"/>
      <c r="L24" s="460"/>
      <c r="M24" s="456"/>
      <c r="N24" s="459"/>
      <c r="O24" s="461"/>
      <c r="P24" s="462"/>
      <c r="Q24" s="164"/>
      <c r="R24" s="164"/>
      <c r="X24" s="41"/>
      <c r="AA24" s="37"/>
      <c r="AB24" s="37"/>
      <c r="AE24" s="117"/>
      <c r="AF24" s="117"/>
      <c r="AG24" s="117"/>
      <c r="AH24" s="117"/>
      <c r="AK24" s="37"/>
      <c r="AL24" s="38"/>
      <c r="AM24" s="37"/>
      <c r="AN24" s="169"/>
    </row>
    <row r="25" spans="1:41" s="18" customFormat="1" ht="15" customHeight="1">
      <c r="A25" s="121">
        <f>'03. SKP-KPT'!B28</f>
        <v>1</v>
      </c>
      <c r="B25" s="115" t="str">
        <f>'03. SKP-KPT'!C28</f>
        <v>Ketua Program Studi Arsitektur Lanskap</v>
      </c>
      <c r="C25" s="128">
        <f>'03. SKP-KPT'!F28</f>
        <v>3</v>
      </c>
      <c r="D25" s="156">
        <f>'03. SKP-KPT'!G28</f>
        <v>1</v>
      </c>
      <c r="E25" s="157" t="str">
        <f>'03. SKP-KPT'!H28</f>
        <v>semester</v>
      </c>
      <c r="F25" s="158">
        <f>'03. SKP-KPT'!I28</f>
        <v>100</v>
      </c>
      <c r="G25" s="156">
        <f>'03. SKP-KPT'!J28</f>
        <v>6</v>
      </c>
      <c r="H25" s="158" t="str">
        <f>'03. SKP-KPT'!K28</f>
        <v>bln</v>
      </c>
      <c r="I25" s="159" t="str">
        <f>'03. SKP-KPT'!L28</f>
        <v>-</v>
      </c>
      <c r="J25" s="128">
        <f t="shared" si="23"/>
        <v>3</v>
      </c>
      <c r="K25" s="459">
        <f>+D25</f>
        <v>1</v>
      </c>
      <c r="L25" s="460" t="str">
        <f>E25</f>
        <v>semester</v>
      </c>
      <c r="M25" s="456">
        <f t="shared" si="24"/>
        <v>100</v>
      </c>
      <c r="N25" s="459">
        <f>+G25</f>
        <v>6</v>
      </c>
      <c r="O25" s="461" t="str">
        <f>H25</f>
        <v>bln</v>
      </c>
      <c r="P25" s="462" t="s">
        <v>90</v>
      </c>
      <c r="Q25" s="164">
        <f>AG25</f>
        <v>276</v>
      </c>
      <c r="R25" s="164">
        <f>IF(I25="-",IF(P25="-",Q25/3,Q25/4),Q25/4)</f>
        <v>92</v>
      </c>
      <c r="T25" s="18">
        <f>IF(D25&gt;0,1,0)</f>
        <v>1</v>
      </c>
      <c r="U25" s="18">
        <f>_xlfn.IFERROR(R25,0)</f>
        <v>92</v>
      </c>
      <c r="W25" s="18">
        <f>100-(N25/G25*100)</f>
        <v>0</v>
      </c>
      <c r="X25" s="41" t="e">
        <f>100-(P25/I25*100)</f>
        <v>#VALUE!</v>
      </c>
      <c r="Y25" s="18">
        <f>K25/D25*100</f>
        <v>100</v>
      </c>
      <c r="Z25" s="18">
        <f>M25/F25*100</f>
        <v>100</v>
      </c>
      <c r="AA25" s="37">
        <f>IF(W25&gt;24,AD25,AC25)</f>
        <v>76.00000000000001</v>
      </c>
      <c r="AB25" s="37" t="e">
        <f>IF(X25&gt;24,AF25,AE25)</f>
        <v>#VALUE!</v>
      </c>
      <c r="AC25" s="18">
        <f>((1.76*G25-N25)/G25)*100</f>
        <v>76.00000000000001</v>
      </c>
      <c r="AD25" s="18">
        <f>76-((((1.76*G25-N25)/G25)*100)-100)</f>
        <v>99.99999999999999</v>
      </c>
      <c r="AE25" s="117" t="e">
        <f>((1.76*I25-P25)/I25)*100</f>
        <v>#VALUE!</v>
      </c>
      <c r="AF25" s="117" t="e">
        <f>76-((((1.76*I25-P25)/I25)*100)-100)</f>
        <v>#VALUE!</v>
      </c>
      <c r="AG25" s="117">
        <f>_xlfn.IFERROR(SUM(Y25:AB25),SUM(Y25:AA25))</f>
        <v>276</v>
      </c>
      <c r="AH25" s="117"/>
      <c r="AK25" s="37">
        <f>100-(N25/G25*100)</f>
        <v>0</v>
      </c>
      <c r="AL25" s="38" t="e">
        <f>100-(P25/I25*100)</f>
        <v>#VALUE!</v>
      </c>
      <c r="AM25" s="37" t="e">
        <f>IF(AND(AK25&gt;24,AL25&gt;24),(_xlfn.IFERROR(((K25/D25*100)+(M25/F25*100)+(76-((((1.76*G25-N25)/G25)*100)-100))+(76-((((1.76*I25-P25)/I25)*100)-100))),((K25/D25*100)+(M25/F25*100)+(76-((((1.76*G25-N25)/G25)*100)-100))))),(_xlfn.IFERROR(((K25/D25*100)+(M25/F25*100)+(((1.76*G25-N25)/G25)*100))+(((1.76*I25-P25)/I25)*100),((K25/D25*100)+(M25/F25*100)+(((1.76*G25-N25)/G25)*100)))))</f>
        <v>#VALUE!</v>
      </c>
      <c r="AN25" s="169">
        <f>IF(AK25&gt;24,(((K25/D25*100)+(M25/F25*100)+(76-((((1.76*G25-N25)/G25)*100)-100)))),(((K25/D25*100)+(M25/F25*100)+(((1.76*G25-N25)/G25)*100))))</f>
        <v>276</v>
      </c>
      <c r="AO25" s="18">
        <f>_xlfn.IFERROR(AM25,AN25)</f>
        <v>276</v>
      </c>
    </row>
    <row r="26" spans="1:41" s="18" customFormat="1" ht="15" customHeight="1">
      <c r="A26" s="121"/>
      <c r="B26" s="115"/>
      <c r="C26" s="128">
        <f>SUM(C10:C25)</f>
        <v>80</v>
      </c>
      <c r="D26" s="156"/>
      <c r="E26" s="157"/>
      <c r="F26" s="158"/>
      <c r="G26" s="156"/>
      <c r="H26" s="158"/>
      <c r="I26" s="159"/>
      <c r="J26" s="128">
        <f>SUM(J10:J25)</f>
        <v>80</v>
      </c>
      <c r="K26" s="156"/>
      <c r="L26" s="157"/>
      <c r="M26" s="198"/>
      <c r="N26" s="156"/>
      <c r="O26" s="158"/>
      <c r="P26" s="160"/>
      <c r="Q26" s="164"/>
      <c r="R26" s="164"/>
      <c r="T26" s="18">
        <f>IF(D26&gt;0,1,0)</f>
        <v>0</v>
      </c>
      <c r="U26" s="18">
        <f>_xlfn.IFERROR(R26,0)</f>
        <v>0</v>
      </c>
      <c r="W26" s="18" t="e">
        <f>100-(N26/G26*100)</f>
        <v>#DIV/0!</v>
      </c>
      <c r="X26" s="41" t="e">
        <f>100-(P26/I26*100)</f>
        <v>#DIV/0!</v>
      </c>
      <c r="Y26" s="18" t="e">
        <f>K26/D26*100</f>
        <v>#DIV/0!</v>
      </c>
      <c r="Z26" s="18" t="e">
        <f>M26/F26*100</f>
        <v>#DIV/0!</v>
      </c>
      <c r="AA26" s="37" t="e">
        <f>IF(W26&gt;24,AD26,AC26)</f>
        <v>#DIV/0!</v>
      </c>
      <c r="AB26" s="37" t="e">
        <f>IF(X26&gt;24,AF26,AE26)</f>
        <v>#DIV/0!</v>
      </c>
      <c r="AC26" s="18" t="e">
        <f>((1.76*G26-N26)/G26)*100</f>
        <v>#DIV/0!</v>
      </c>
      <c r="AD26" s="18" t="e">
        <f>76-((((1.76*G26-N26)/G26)*100)-100)</f>
        <v>#DIV/0!</v>
      </c>
      <c r="AE26" s="117" t="e">
        <f>((1.76*I26-P26)/I26)*100</f>
        <v>#DIV/0!</v>
      </c>
      <c r="AF26" s="117" t="e">
        <f>76-((((1.76*I26-P26)/I26)*100)-100)</f>
        <v>#DIV/0!</v>
      </c>
      <c r="AG26" s="117" t="e">
        <f>_xlfn.IFERROR(SUM(Y26:AB26),SUM(Y26:AA26))</f>
        <v>#DIV/0!</v>
      </c>
      <c r="AH26" s="117"/>
      <c r="AK26" s="37" t="e">
        <f>100-(N26/G26*100)</f>
        <v>#DIV/0!</v>
      </c>
      <c r="AL26" s="38" t="e">
        <f>100-(P26/I26*100)</f>
        <v>#DIV/0!</v>
      </c>
      <c r="AM26" s="37" t="e">
        <f>IF(AND(AK26&gt;24,AL26&gt;24),(_xlfn.IFERROR(((K26/D26*100)+(M26/F26*100)+(76-((((1.76*G26-N26)/G26)*100)-100))+(76-((((1.76*I26-P26)/I26)*100)-100))),((K26/D26*100)+(M26/F26*100)+(76-((((1.76*G26-N26)/G26)*100)-100))))),(_xlfn.IFERROR(((K26/D26*100)+(M26/F26*100)+(((1.76*G26-N26)/G26)*100))+(((1.76*I26-P26)/I26)*100),((K26/D26*100)+(M26/F26*100)+(((1.76*G26-N26)/G26)*100)))))</f>
        <v>#DIV/0!</v>
      </c>
      <c r="AN26" s="169" t="e">
        <f>IF(AK26&gt;24,(((K26/D26*100)+(M26/F26*100)+(76-((((1.76*G26-N26)/G26)*100)-100)))),(((K26/D26*100)+(M26/F26*100)+(((1.76*G26-N26)/G26)*100))))</f>
        <v>#DIV/0!</v>
      </c>
      <c r="AO26" s="18" t="e">
        <f>_xlfn.IFERROR(AM26,AN26)</f>
        <v>#DIV/0!</v>
      </c>
    </row>
    <row r="27" spans="1:18" s="117" customFormat="1" ht="26.25" customHeight="1" thickBot="1">
      <c r="A27" s="130"/>
      <c r="B27" s="131" t="s">
        <v>19</v>
      </c>
      <c r="C27" s="132"/>
      <c r="D27" s="557"/>
      <c r="E27" s="558"/>
      <c r="F27" s="558"/>
      <c r="G27" s="558"/>
      <c r="H27" s="558"/>
      <c r="I27" s="559"/>
      <c r="J27" s="170"/>
      <c r="K27" s="581"/>
      <c r="L27" s="582"/>
      <c r="M27" s="582"/>
      <c r="N27" s="582"/>
      <c r="O27" s="582"/>
      <c r="P27" s="583"/>
      <c r="Q27" s="171"/>
      <c r="R27" s="172"/>
    </row>
    <row r="28" spans="1:38" s="117" customFormat="1" ht="15.75" customHeight="1" thickBot="1" thickTop="1">
      <c r="A28" s="116">
        <v>1</v>
      </c>
      <c r="B28" s="30" t="s">
        <v>300</v>
      </c>
      <c r="C28" s="30">
        <f>+'02. PENCARIAN AK'!F285</f>
        <v>1</v>
      </c>
      <c r="D28" s="567" t="s">
        <v>320</v>
      </c>
      <c r="E28" s="567"/>
      <c r="F28" s="567"/>
      <c r="G28" s="567"/>
      <c r="H28" s="567"/>
      <c r="I28" s="567"/>
      <c r="J28" s="173">
        <f>+'02. PENCARIAN AK'!F285</f>
        <v>1</v>
      </c>
      <c r="K28" s="566" t="s">
        <v>321</v>
      </c>
      <c r="L28" s="566"/>
      <c r="M28" s="566"/>
      <c r="N28" s="566"/>
      <c r="O28" s="566"/>
      <c r="P28" s="566"/>
      <c r="Q28" s="425">
        <f>+Q25</f>
        <v>276</v>
      </c>
      <c r="R28" s="570">
        <f>+'02. PENCARIAN AK'!F285</f>
        <v>1</v>
      </c>
      <c r="Z28" s="118" t="s">
        <v>35</v>
      </c>
      <c r="AJ28" s="118" t="s">
        <v>31</v>
      </c>
      <c r="AL28" s="169"/>
    </row>
    <row r="29" spans="1:38" s="117" customFormat="1" ht="15.75" customHeight="1" thickBot="1" thickTop="1">
      <c r="A29" s="116"/>
      <c r="B29" s="30"/>
      <c r="C29" s="30"/>
      <c r="D29" s="567"/>
      <c r="E29" s="567"/>
      <c r="F29" s="567"/>
      <c r="G29" s="567"/>
      <c r="H29" s="567"/>
      <c r="I29" s="567"/>
      <c r="J29" s="173"/>
      <c r="K29" s="566"/>
      <c r="L29" s="566"/>
      <c r="M29" s="566"/>
      <c r="N29" s="566"/>
      <c r="O29" s="566"/>
      <c r="P29" s="566"/>
      <c r="Q29" s="116"/>
      <c r="R29" s="584"/>
      <c r="Z29" s="117" t="s">
        <v>36</v>
      </c>
      <c r="AJ29" s="117" t="s">
        <v>32</v>
      </c>
      <c r="AL29" s="169"/>
    </row>
    <row r="30" spans="1:38" s="117" customFormat="1" ht="15.75" customHeight="1" thickBot="1" thickTop="1">
      <c r="A30" s="116">
        <v>2</v>
      </c>
      <c r="B30" s="30" t="s">
        <v>299</v>
      </c>
      <c r="C30" s="30"/>
      <c r="D30" s="567"/>
      <c r="E30" s="567"/>
      <c r="F30" s="567"/>
      <c r="G30" s="567"/>
      <c r="H30" s="567"/>
      <c r="I30" s="567"/>
      <c r="J30" s="173"/>
      <c r="K30" s="566"/>
      <c r="L30" s="566"/>
      <c r="M30" s="566"/>
      <c r="N30" s="566"/>
      <c r="O30" s="566"/>
      <c r="P30" s="566"/>
      <c r="Q30" s="116"/>
      <c r="R30" s="570">
        <v>0</v>
      </c>
      <c r="AL30" s="169"/>
    </row>
    <row r="31" spans="1:24" s="117" customFormat="1" ht="15.75" customHeight="1" thickBot="1" thickTop="1">
      <c r="A31" s="116"/>
      <c r="B31" s="30"/>
      <c r="C31" s="30"/>
      <c r="D31" s="567"/>
      <c r="E31" s="567"/>
      <c r="F31" s="567"/>
      <c r="G31" s="567"/>
      <c r="H31" s="567"/>
      <c r="I31" s="567"/>
      <c r="J31" s="173"/>
      <c r="K31" s="566"/>
      <c r="L31" s="566"/>
      <c r="M31" s="566"/>
      <c r="N31" s="566"/>
      <c r="O31" s="566"/>
      <c r="P31" s="566"/>
      <c r="Q31" s="116"/>
      <c r="R31" s="571"/>
      <c r="X31" s="117">
        <f>SUM(Y18:AA18)</f>
        <v>276</v>
      </c>
    </row>
    <row r="32" spans="1:18" ht="15.75" customHeight="1" thickBot="1" thickTop="1">
      <c r="A32" s="31"/>
      <c r="B32" s="32"/>
      <c r="C32" s="32"/>
      <c r="D32" s="33"/>
      <c r="E32" s="33"/>
      <c r="F32" s="33"/>
      <c r="G32" s="33"/>
      <c r="H32" s="33"/>
      <c r="I32" s="33"/>
      <c r="J32" s="34"/>
      <c r="K32" s="35"/>
      <c r="L32" s="35"/>
      <c r="M32" s="199"/>
      <c r="N32" s="35"/>
      <c r="O32" s="35"/>
      <c r="P32" s="35"/>
      <c r="Q32" s="36"/>
      <c r="R32" s="165"/>
    </row>
    <row r="33" spans="1:20" ht="13.5" customHeight="1" thickTop="1">
      <c r="A33" s="573" t="s">
        <v>17</v>
      </c>
      <c r="B33" s="574"/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5"/>
      <c r="R33" s="166">
        <f>(SUM(U10:U25)/T33)+R28+R30</f>
        <v>83.8</v>
      </c>
      <c r="T33">
        <f>SUM(T10:T28)</f>
        <v>10</v>
      </c>
    </row>
    <row r="34" spans="1:18" ht="13.5" customHeight="1" thickBot="1">
      <c r="A34" s="576"/>
      <c r="B34" s="577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7"/>
      <c r="O34" s="577"/>
      <c r="P34" s="577"/>
      <c r="Q34" s="578"/>
      <c r="R34" s="24" t="str">
        <f>IF(R33&lt;=50,"(Buruk)",IF(R33&lt;=60,"(Kurang)",IF(R33&lt;=75,"(Cukup)",IF(R33&lt;=90.99,"(Baik)","(Sangat Baik)"))))</f>
        <v>(Baik)</v>
      </c>
    </row>
    <row r="35" ht="7.5" customHeight="1" thickTop="1"/>
    <row r="36" spans="13:18" ht="12.75">
      <c r="M36" s="201" t="s">
        <v>366</v>
      </c>
      <c r="N36" s="50"/>
      <c r="O36" s="431"/>
      <c r="P36" s="50"/>
      <c r="Q36" s="50"/>
      <c r="R36" s="50"/>
    </row>
    <row r="37" spans="13:18" ht="12.75">
      <c r="M37" s="572" t="s">
        <v>24</v>
      </c>
      <c r="N37" s="572"/>
      <c r="O37" s="572"/>
      <c r="P37" s="572"/>
      <c r="Q37" s="572"/>
      <c r="R37" s="572"/>
    </row>
    <row r="38" ht="13.5" customHeight="1">
      <c r="A38" s="404"/>
    </row>
    <row r="39" ht="5.25" customHeight="1"/>
    <row r="40" spans="13:18" ht="12.75">
      <c r="M40" s="528" t="str">
        <f>'03. SKP-KPT'!B36</f>
        <v>Dr. Ir. Amir Hamzah, MP.</v>
      </c>
      <c r="N40" s="528"/>
      <c r="O40" s="528"/>
      <c r="P40" s="528"/>
      <c r="Q40" s="528"/>
      <c r="R40" s="528"/>
    </row>
    <row r="41" spans="13:18" ht="12.75">
      <c r="M41" s="527" t="str">
        <f>'03. SKP-KPT'!B37</f>
        <v>196705272005011001</v>
      </c>
      <c r="N41" s="527"/>
      <c r="O41" s="527"/>
      <c r="P41" s="527"/>
      <c r="Q41" s="527"/>
      <c r="R41" s="527"/>
    </row>
  </sheetData>
  <sheetProtection/>
  <mergeCells count="35">
    <mergeCell ref="R6:R7"/>
    <mergeCell ref="K6:P6"/>
    <mergeCell ref="D31:I31"/>
    <mergeCell ref="K31:P31"/>
    <mergeCell ref="M41:R41"/>
    <mergeCell ref="K27:P27"/>
    <mergeCell ref="G7:H7"/>
    <mergeCell ref="K8:L8"/>
    <mergeCell ref="D28:I28"/>
    <mergeCell ref="R28:R29"/>
    <mergeCell ref="R30:R31"/>
    <mergeCell ref="D29:I29"/>
    <mergeCell ref="M37:R37"/>
    <mergeCell ref="A33:Q34"/>
    <mergeCell ref="M40:R40"/>
    <mergeCell ref="N8:O8"/>
    <mergeCell ref="N7:O7"/>
    <mergeCell ref="K29:P29"/>
    <mergeCell ref="D30:I30"/>
    <mergeCell ref="K30:P30"/>
    <mergeCell ref="D8:E8"/>
    <mergeCell ref="G8:H8"/>
    <mergeCell ref="K7:L7"/>
    <mergeCell ref="D7:E7"/>
    <mergeCell ref="K28:P28"/>
    <mergeCell ref="A1:R1"/>
    <mergeCell ref="A2:R2"/>
    <mergeCell ref="A3:Q3"/>
    <mergeCell ref="Q6:Q7"/>
    <mergeCell ref="D27:I27"/>
    <mergeCell ref="A6:A7"/>
    <mergeCell ref="B6:B7"/>
    <mergeCell ref="C6:C7"/>
    <mergeCell ref="J6:J7"/>
    <mergeCell ref="D6:I6"/>
  </mergeCells>
  <printOptions/>
  <pageMargins left="1.53543307086614" right="0.748031496062992" top="0.393700787401575" bottom="0.590551181102362" header="0.511811023622047" footer="0.511811023622047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55"/>
  <sheetViews>
    <sheetView tabSelected="1" view="pageBreakPreview" zoomScaleSheetLayoutView="100" zoomScalePageLayoutView="0" workbookViewId="0" topLeftCell="A1">
      <selection activeCell="L22" sqref="L22"/>
    </sheetView>
  </sheetViews>
  <sheetFormatPr defaultColWidth="9.140625" defaultRowHeight="12.75"/>
  <cols>
    <col min="1" max="1" width="0.85546875" style="0" customWidth="1"/>
    <col min="2" max="2" width="4.7109375" style="0" customWidth="1"/>
    <col min="3" max="3" width="19.140625" style="0" customWidth="1"/>
    <col min="4" max="4" width="14.8515625" style="0" customWidth="1"/>
    <col min="5" max="5" width="13.7109375" style="0" customWidth="1"/>
    <col min="6" max="6" width="11.421875" style="0" customWidth="1"/>
    <col min="7" max="7" width="4.421875" style="0" customWidth="1"/>
    <col min="8" max="8" width="13.28125" style="0" customWidth="1"/>
    <col min="9" max="9" width="15.28125" style="0" customWidth="1"/>
    <col min="10" max="10" width="9.7109375" style="0" customWidth="1"/>
    <col min="11" max="11" width="4.7109375" style="0" customWidth="1"/>
    <col min="15" max="15" width="13.8515625" style="0" customWidth="1"/>
    <col min="20" max="20" width="11.7109375" style="0" customWidth="1"/>
    <col min="21" max="21" width="0.85546875" style="0" customWidth="1"/>
  </cols>
  <sheetData>
    <row r="1" ht="13.5" thickBot="1"/>
    <row r="2" spans="2:20" ht="30" customHeight="1" thickBot="1">
      <c r="B2" s="595" t="s">
        <v>54</v>
      </c>
      <c r="C2" s="598" t="s">
        <v>41</v>
      </c>
      <c r="D2" s="599"/>
      <c r="E2" s="599"/>
      <c r="F2" s="599"/>
      <c r="G2" s="599"/>
      <c r="H2" s="600"/>
      <c r="I2" s="59" t="s">
        <v>42</v>
      </c>
      <c r="K2" s="621" t="s">
        <v>55</v>
      </c>
      <c r="L2" s="622"/>
      <c r="M2" s="622"/>
      <c r="N2" s="622"/>
      <c r="O2" s="622"/>
      <c r="P2" s="622"/>
      <c r="Q2" s="622"/>
      <c r="R2" s="622"/>
      <c r="S2" s="622"/>
      <c r="T2" s="623"/>
    </row>
    <row r="3" spans="2:20" ht="30" customHeight="1" thickBot="1">
      <c r="B3" s="596"/>
      <c r="C3" s="617" t="s">
        <v>53</v>
      </c>
      <c r="D3" s="618"/>
      <c r="E3" s="55"/>
      <c r="F3" s="55">
        <f>'04. PENGUKURAN'!R33</f>
        <v>83.8</v>
      </c>
      <c r="G3" s="62" t="s">
        <v>60</v>
      </c>
      <c r="H3" s="56">
        <v>0.6</v>
      </c>
      <c r="I3" s="58">
        <f>F3*H3</f>
        <v>50.279999999999994</v>
      </c>
      <c r="K3" s="624" t="s">
        <v>57</v>
      </c>
      <c r="L3" s="625"/>
      <c r="M3" s="625"/>
      <c r="N3" s="625"/>
      <c r="O3" s="625"/>
      <c r="P3" s="625"/>
      <c r="Q3" s="625"/>
      <c r="R3" s="625"/>
      <c r="S3" s="625"/>
      <c r="T3" s="626"/>
    </row>
    <row r="4" spans="2:20" ht="30" customHeight="1" thickBot="1">
      <c r="B4" s="596"/>
      <c r="C4" s="601" t="s">
        <v>59</v>
      </c>
      <c r="D4" s="585" t="s">
        <v>43</v>
      </c>
      <c r="E4" s="586"/>
      <c r="F4" s="57">
        <v>78</v>
      </c>
      <c r="G4" s="607" t="str">
        <f>IF(F4&lt;=50,"(Buruk)",IF(F4&lt;=60,"(Sedang)",IF(F4&lt;=75,"(Cukup)",IF(F4&lt;=90.99,"(Baik)","(Sangat Baik)"))))</f>
        <v>(Baik)</v>
      </c>
      <c r="H4" s="608"/>
      <c r="I4" s="60"/>
      <c r="K4" s="48"/>
      <c r="L4" s="44"/>
      <c r="M4" s="44"/>
      <c r="N4" s="44"/>
      <c r="O4" s="44"/>
      <c r="P4" s="44"/>
      <c r="Q4" s="44"/>
      <c r="R4" s="44"/>
      <c r="S4" s="44"/>
      <c r="T4" s="45"/>
    </row>
    <row r="5" spans="2:20" ht="30" customHeight="1" thickBot="1">
      <c r="B5" s="596"/>
      <c r="C5" s="602"/>
      <c r="D5" s="585" t="s">
        <v>44</v>
      </c>
      <c r="E5" s="586"/>
      <c r="F5" s="57">
        <v>78</v>
      </c>
      <c r="G5" s="607" t="str">
        <f>IF(F5&lt;=50,"(Buruk)",IF(F5&lt;=60,"(Sedang)",IF(F5&lt;=75,"(Cukup)",IF(F5&lt;=90.99,"(Baik)","(Sangat Baik)"))))</f>
        <v>(Baik)</v>
      </c>
      <c r="H5" s="608"/>
      <c r="I5" s="60"/>
      <c r="K5" s="48"/>
      <c r="L5" s="44"/>
      <c r="M5" s="44"/>
      <c r="N5" s="44"/>
      <c r="O5" s="44"/>
      <c r="P5" s="44"/>
      <c r="Q5" s="44"/>
      <c r="R5" s="44"/>
      <c r="S5" s="44"/>
      <c r="T5" s="45"/>
    </row>
    <row r="6" spans="2:20" ht="30" customHeight="1" thickBot="1">
      <c r="B6" s="596"/>
      <c r="C6" s="602"/>
      <c r="D6" s="585" t="s">
        <v>45</v>
      </c>
      <c r="E6" s="586"/>
      <c r="F6" s="57">
        <v>90</v>
      </c>
      <c r="G6" s="607" t="str">
        <f>IF(F6&lt;=50,"(Buruk)",IF(F6&lt;=60,"(Sedang)",IF(F6&lt;=75,"(Cukup)",IF(F6&lt;=90.99,"(Baik)","(Sangat Baik)"))))</f>
        <v>(Baik)</v>
      </c>
      <c r="H6" s="608"/>
      <c r="I6" s="60"/>
      <c r="K6" s="48"/>
      <c r="L6" s="44"/>
      <c r="M6" s="44"/>
      <c r="N6" s="44"/>
      <c r="O6" s="44"/>
      <c r="P6" s="44"/>
      <c r="Q6" s="44"/>
      <c r="R6" s="44"/>
      <c r="S6" s="44"/>
      <c r="T6" s="45"/>
    </row>
    <row r="7" spans="2:20" ht="30" customHeight="1" thickBot="1">
      <c r="B7" s="596"/>
      <c r="C7" s="602"/>
      <c r="D7" s="585" t="s">
        <v>46</v>
      </c>
      <c r="E7" s="586"/>
      <c r="F7" s="57">
        <v>77.5</v>
      </c>
      <c r="G7" s="607" t="str">
        <f>IF(F7&lt;=50,"(Buruk)",IF(F7&lt;=60,"(Sedang)",IF(F7&lt;=75,"(Cukup)",IF(F7&lt;=90.99,"(Baik)","(Sangat Baik)"))))</f>
        <v>(Baik)</v>
      </c>
      <c r="H7" s="608"/>
      <c r="I7" s="60"/>
      <c r="K7" s="48"/>
      <c r="L7" s="44"/>
      <c r="M7" s="44"/>
      <c r="N7" s="44"/>
      <c r="O7" s="44"/>
      <c r="P7" s="44"/>
      <c r="Q7" s="44"/>
      <c r="R7" s="44"/>
      <c r="S7" s="44"/>
      <c r="T7" s="45"/>
    </row>
    <row r="8" spans="2:20" ht="30" customHeight="1" thickBot="1">
      <c r="B8" s="596"/>
      <c r="C8" s="602"/>
      <c r="D8" s="585" t="s">
        <v>47</v>
      </c>
      <c r="E8" s="586"/>
      <c r="F8" s="57">
        <v>77</v>
      </c>
      <c r="G8" s="607" t="str">
        <f>IF(F8&lt;=50,"(Buruk)",IF(F8&lt;=60,"(Sedang)",IF(F8&lt;=75,"(Cukup)",IF(F8&lt;=90.99,"(Baik)","(Sangat Baik)"))))</f>
        <v>(Baik)</v>
      </c>
      <c r="H8" s="608"/>
      <c r="I8" s="60"/>
      <c r="K8" s="48"/>
      <c r="L8" s="44"/>
      <c r="M8" s="44"/>
      <c r="N8" s="44"/>
      <c r="O8" s="44"/>
      <c r="P8" s="44"/>
      <c r="Q8" s="44"/>
      <c r="R8" s="44"/>
      <c r="S8" s="44"/>
      <c r="T8" s="45"/>
    </row>
    <row r="9" spans="2:20" ht="30" customHeight="1" thickBot="1">
      <c r="B9" s="596"/>
      <c r="C9" s="602"/>
      <c r="D9" s="585" t="s">
        <v>48</v>
      </c>
      <c r="E9" s="586"/>
      <c r="F9" s="57" t="s">
        <v>90</v>
      </c>
      <c r="G9" s="607">
        <f>IF(F9="-","",IF(F9&lt;=50,"(Buruk)",IF(F9&lt;=60,"(Sedang)",IF(F9&lt;=75,"(Cukup)",IF(F9&lt;=90.99,"(Baik)","(Sangat Baik)")))))</f>
      </c>
      <c r="H9" s="608"/>
      <c r="I9" s="60"/>
      <c r="K9" s="48"/>
      <c r="L9" s="44"/>
      <c r="M9" s="44"/>
      <c r="N9" s="44"/>
      <c r="O9" s="44"/>
      <c r="P9" s="44"/>
      <c r="Q9" s="44"/>
      <c r="R9" s="44"/>
      <c r="S9" s="44"/>
      <c r="T9" s="45"/>
    </row>
    <row r="10" spans="2:20" ht="30" customHeight="1" thickBot="1">
      <c r="B10" s="596"/>
      <c r="C10" s="602"/>
      <c r="D10" s="585" t="s">
        <v>49</v>
      </c>
      <c r="E10" s="586"/>
      <c r="F10" s="57">
        <f>SUM(F4:F9)</f>
        <v>400.5</v>
      </c>
      <c r="G10" s="612"/>
      <c r="H10" s="613"/>
      <c r="I10" s="60"/>
      <c r="K10" s="630" t="s">
        <v>52</v>
      </c>
      <c r="L10" s="631"/>
      <c r="M10" s="631"/>
      <c r="N10" s="631"/>
      <c r="O10" s="631"/>
      <c r="P10" s="631"/>
      <c r="Q10" s="631"/>
      <c r="R10" s="631"/>
      <c r="S10" s="631"/>
      <c r="T10" s="632"/>
    </row>
    <row r="11" spans="2:20" ht="30" customHeight="1" thickBot="1">
      <c r="B11" s="596"/>
      <c r="C11" s="602"/>
      <c r="D11" s="585" t="s">
        <v>50</v>
      </c>
      <c r="E11" s="586"/>
      <c r="F11" s="63">
        <f>IF(F9="-",IF(F9="-",F10/5,F10/6),F10/6)</f>
        <v>80.1</v>
      </c>
      <c r="G11" s="607" t="str">
        <f>IF(F11&lt;=50,"(Buruk)",IF(F11&lt;=60,"(Sedang)",IF(F11&lt;=75,"(Cukup)",IF(F11&lt;=90.99,"(Baik)","(Sangat Baik)"))))</f>
        <v>(Baik)</v>
      </c>
      <c r="H11" s="608"/>
      <c r="I11" s="60"/>
      <c r="K11" s="621" t="s">
        <v>56</v>
      </c>
      <c r="L11" s="622"/>
      <c r="M11" s="622"/>
      <c r="N11" s="622"/>
      <c r="O11" s="622"/>
      <c r="P11" s="622"/>
      <c r="Q11" s="622"/>
      <c r="R11" s="622"/>
      <c r="S11" s="622"/>
      <c r="T11" s="623"/>
    </row>
    <row r="12" spans="2:20" ht="30" customHeight="1" thickBot="1">
      <c r="B12" s="597"/>
      <c r="C12" s="603"/>
      <c r="D12" s="587" t="s">
        <v>61</v>
      </c>
      <c r="E12" s="588"/>
      <c r="F12" s="66">
        <f>F11</f>
        <v>80.1</v>
      </c>
      <c r="G12" s="61" t="s">
        <v>60</v>
      </c>
      <c r="H12" s="64">
        <v>0.4</v>
      </c>
      <c r="I12" s="58">
        <f>F12*H12</f>
        <v>32.04</v>
      </c>
      <c r="K12" s="624" t="s">
        <v>58</v>
      </c>
      <c r="L12" s="625"/>
      <c r="M12" s="625"/>
      <c r="N12" s="625"/>
      <c r="O12" s="625"/>
      <c r="P12" s="625"/>
      <c r="Q12" s="625"/>
      <c r="R12" s="625"/>
      <c r="S12" s="625"/>
      <c r="T12" s="626"/>
    </row>
    <row r="13" spans="2:20" ht="30" customHeight="1" thickBot="1">
      <c r="B13" s="604"/>
      <c r="C13" s="605"/>
      <c r="D13" s="605"/>
      <c r="E13" s="605"/>
      <c r="F13" s="605"/>
      <c r="G13" s="605"/>
      <c r="H13" s="606"/>
      <c r="I13" s="82">
        <f>I12+I3</f>
        <v>82.32</v>
      </c>
      <c r="K13" s="48"/>
      <c r="L13" s="44"/>
      <c r="M13" s="44"/>
      <c r="N13" s="44"/>
      <c r="O13" s="44"/>
      <c r="P13" s="44"/>
      <c r="Q13" s="44"/>
      <c r="R13" s="44"/>
      <c r="S13" s="44"/>
      <c r="T13" s="45"/>
    </row>
    <row r="14" spans="2:20" ht="30" customHeight="1" thickBot="1">
      <c r="B14" s="619" t="s">
        <v>51</v>
      </c>
      <c r="C14" s="620"/>
      <c r="D14" s="620"/>
      <c r="E14" s="620"/>
      <c r="F14" s="620"/>
      <c r="G14" s="620"/>
      <c r="H14" s="620"/>
      <c r="I14" s="54" t="str">
        <f>IF(I13&lt;=50,"(Buruk)",IF(I13&lt;=60,"(Kurang)",IF(I13&lt;=75,"(Cukup)",IF(I13&lt;=90.99,"(Baik)","(Sangat Baik)"))))</f>
        <v>(Baik)</v>
      </c>
      <c r="J14" s="65"/>
      <c r="K14" s="48"/>
      <c r="L14" s="44"/>
      <c r="M14" s="44"/>
      <c r="N14" s="44"/>
      <c r="O14" s="44"/>
      <c r="P14" s="44"/>
      <c r="Q14" s="44"/>
      <c r="R14" s="44"/>
      <c r="S14" s="44"/>
      <c r="T14" s="45"/>
    </row>
    <row r="15" spans="2:20" ht="30" customHeight="1">
      <c r="B15" s="589" t="s">
        <v>333</v>
      </c>
      <c r="C15" s="590"/>
      <c r="D15" s="590"/>
      <c r="E15" s="590"/>
      <c r="F15" s="590"/>
      <c r="G15" s="590"/>
      <c r="H15" s="590"/>
      <c r="I15" s="591"/>
      <c r="K15" s="48"/>
      <c r="L15" s="44"/>
      <c r="M15" s="44"/>
      <c r="N15" s="44"/>
      <c r="O15" s="44"/>
      <c r="P15" s="44"/>
      <c r="Q15" s="44"/>
      <c r="R15" s="44"/>
      <c r="S15" s="44"/>
      <c r="T15" s="45"/>
    </row>
    <row r="16" spans="2:20" ht="30" customHeight="1">
      <c r="B16" s="592"/>
      <c r="C16" s="593"/>
      <c r="D16" s="593"/>
      <c r="E16" s="593"/>
      <c r="F16" s="593"/>
      <c r="G16" s="593"/>
      <c r="H16" s="593"/>
      <c r="I16" s="594"/>
      <c r="K16" s="48"/>
      <c r="L16" s="44"/>
      <c r="M16" s="44"/>
      <c r="N16" s="44"/>
      <c r="O16" s="44"/>
      <c r="P16" s="44"/>
      <c r="Q16" s="44"/>
      <c r="R16" s="44"/>
      <c r="S16" s="44"/>
      <c r="T16" s="45"/>
    </row>
    <row r="17" spans="2:20" ht="30" customHeight="1">
      <c r="B17" s="592"/>
      <c r="C17" s="593"/>
      <c r="D17" s="593"/>
      <c r="E17" s="593"/>
      <c r="F17" s="593"/>
      <c r="G17" s="593"/>
      <c r="H17" s="593"/>
      <c r="I17" s="594"/>
      <c r="K17" s="51"/>
      <c r="L17" s="44"/>
      <c r="M17" s="44"/>
      <c r="N17" s="44"/>
      <c r="O17" s="44"/>
      <c r="P17" s="44"/>
      <c r="Q17" s="44"/>
      <c r="R17" s="44"/>
      <c r="S17" s="44"/>
      <c r="T17" s="45"/>
    </row>
    <row r="18" spans="2:20" ht="30" customHeight="1">
      <c r="B18" s="181"/>
      <c r="C18" s="182"/>
      <c r="D18" s="182"/>
      <c r="E18" s="182"/>
      <c r="F18" s="182"/>
      <c r="G18" s="182"/>
      <c r="H18" s="182"/>
      <c r="I18" s="183"/>
      <c r="K18" s="51"/>
      <c r="L18" s="44"/>
      <c r="M18" s="44"/>
      <c r="N18" s="44"/>
      <c r="O18" s="44"/>
      <c r="P18" s="44"/>
      <c r="Q18" s="44"/>
      <c r="R18" s="44"/>
      <c r="S18" s="44"/>
      <c r="T18" s="45"/>
    </row>
    <row r="19" spans="2:20" ht="30" customHeight="1">
      <c r="B19" s="181"/>
      <c r="C19" s="182"/>
      <c r="D19" s="182"/>
      <c r="E19" s="182"/>
      <c r="F19" s="182"/>
      <c r="G19" s="182"/>
      <c r="H19" s="182"/>
      <c r="I19" s="183"/>
      <c r="K19" s="51"/>
      <c r="L19" s="44"/>
      <c r="M19" s="44"/>
      <c r="N19" s="44"/>
      <c r="O19" s="44"/>
      <c r="P19" s="44"/>
      <c r="Q19" s="44"/>
      <c r="R19" s="44"/>
      <c r="S19" s="44"/>
      <c r="T19" s="45"/>
    </row>
    <row r="20" spans="2:20" ht="30" customHeight="1">
      <c r="B20" s="181"/>
      <c r="C20" s="182"/>
      <c r="D20" s="182"/>
      <c r="E20" s="182"/>
      <c r="F20" s="182"/>
      <c r="G20" s="182"/>
      <c r="H20" s="182"/>
      <c r="I20" s="183"/>
      <c r="K20" s="51"/>
      <c r="L20" s="44"/>
      <c r="M20" s="44"/>
      <c r="N20" s="44"/>
      <c r="O20" s="44"/>
      <c r="P20" s="44"/>
      <c r="Q20" s="44"/>
      <c r="R20" s="44"/>
      <c r="S20" s="44"/>
      <c r="T20" s="45"/>
    </row>
    <row r="21" spans="2:20" ht="30" customHeight="1">
      <c r="B21" s="592"/>
      <c r="C21" s="593"/>
      <c r="D21" s="593"/>
      <c r="E21" s="593"/>
      <c r="F21" s="593"/>
      <c r="G21" s="593"/>
      <c r="H21" s="593"/>
      <c r="I21" s="594"/>
      <c r="K21" s="51"/>
      <c r="L21" s="44"/>
      <c r="M21" s="44"/>
      <c r="N21" s="44"/>
      <c r="O21" s="44"/>
      <c r="P21" s="44"/>
      <c r="Q21" s="44"/>
      <c r="R21" s="44"/>
      <c r="S21" s="44"/>
      <c r="T21" s="45"/>
    </row>
    <row r="22" spans="2:20" ht="30" customHeight="1">
      <c r="B22" s="592"/>
      <c r="C22" s="593"/>
      <c r="D22" s="593"/>
      <c r="E22" s="593"/>
      <c r="F22" s="593"/>
      <c r="G22" s="593"/>
      <c r="H22" s="593"/>
      <c r="I22" s="594"/>
      <c r="K22" s="51"/>
      <c r="L22" s="44"/>
      <c r="M22" s="44"/>
      <c r="N22" s="44"/>
      <c r="O22" s="44"/>
      <c r="P22" s="44"/>
      <c r="Q22" s="44"/>
      <c r="R22" s="44"/>
      <c r="S22" s="44"/>
      <c r="T22" s="45"/>
    </row>
    <row r="23" spans="2:20" ht="30" customHeight="1">
      <c r="B23" s="592"/>
      <c r="C23" s="593"/>
      <c r="D23" s="593"/>
      <c r="E23" s="593"/>
      <c r="F23" s="593"/>
      <c r="G23" s="593"/>
      <c r="H23" s="593"/>
      <c r="I23" s="594"/>
      <c r="K23" s="52"/>
      <c r="L23" s="44"/>
      <c r="M23" s="44"/>
      <c r="N23" s="44"/>
      <c r="O23" s="44"/>
      <c r="P23" s="44"/>
      <c r="Q23" s="44"/>
      <c r="R23" s="44"/>
      <c r="S23" s="44"/>
      <c r="T23" s="45"/>
    </row>
    <row r="24" spans="2:20" ht="30" customHeight="1">
      <c r="B24" s="609" t="s">
        <v>52</v>
      </c>
      <c r="C24" s="610"/>
      <c r="D24" s="610"/>
      <c r="E24" s="610"/>
      <c r="F24" s="610"/>
      <c r="G24" s="610"/>
      <c r="H24" s="610"/>
      <c r="I24" s="611"/>
      <c r="J24" s="50"/>
      <c r="K24" s="627" t="s">
        <v>52</v>
      </c>
      <c r="L24" s="628"/>
      <c r="M24" s="628"/>
      <c r="N24" s="628"/>
      <c r="O24" s="628"/>
      <c r="P24" s="628"/>
      <c r="Q24" s="628"/>
      <c r="R24" s="628"/>
      <c r="S24" s="628"/>
      <c r="T24" s="629"/>
    </row>
    <row r="25" spans="2:20" ht="30" customHeight="1" thickBot="1">
      <c r="B25" s="614"/>
      <c r="C25" s="615"/>
      <c r="D25" s="615"/>
      <c r="E25" s="615"/>
      <c r="F25" s="615"/>
      <c r="G25" s="615"/>
      <c r="H25" s="615"/>
      <c r="I25" s="616"/>
      <c r="K25" s="53"/>
      <c r="L25" s="46"/>
      <c r="M25" s="46"/>
      <c r="N25" s="46"/>
      <c r="O25" s="46"/>
      <c r="P25" s="46"/>
      <c r="Q25" s="46"/>
      <c r="R25" s="46"/>
      <c r="S25" s="46"/>
      <c r="T25" s="47"/>
    </row>
    <row r="26" spans="11:12" ht="15">
      <c r="K26" s="49"/>
      <c r="L26" s="44"/>
    </row>
    <row r="27" spans="11:12" ht="15.75" thickBot="1">
      <c r="K27" s="49"/>
      <c r="L27" s="44"/>
    </row>
    <row r="28" spans="2:20" ht="15">
      <c r="B28" s="70"/>
      <c r="C28" s="67"/>
      <c r="D28" s="67"/>
      <c r="E28" s="67"/>
      <c r="F28" s="67"/>
      <c r="G28" s="67"/>
      <c r="H28" s="67"/>
      <c r="I28" s="68"/>
      <c r="K28" s="49" t="s">
        <v>90</v>
      </c>
      <c r="L28" s="177"/>
      <c r="M28" s="50"/>
      <c r="N28" s="50"/>
      <c r="O28" s="50"/>
      <c r="P28" s="50"/>
      <c r="Q28" s="50"/>
      <c r="R28" s="50"/>
      <c r="S28" s="50"/>
      <c r="T28" s="50"/>
    </row>
    <row r="29" spans="2:20" ht="15.75">
      <c r="B29" s="71" t="s">
        <v>75</v>
      </c>
      <c r="C29" s="72" t="s">
        <v>76</v>
      </c>
      <c r="D29" s="44"/>
      <c r="E29" s="44"/>
      <c r="F29" s="44"/>
      <c r="G29" s="44"/>
      <c r="H29" s="44"/>
      <c r="I29" s="45"/>
      <c r="K29" s="49"/>
      <c r="L29" s="177"/>
      <c r="M29" s="50"/>
      <c r="N29" s="50"/>
      <c r="O29" s="50"/>
      <c r="P29" s="50"/>
      <c r="Q29" s="50"/>
      <c r="R29" s="50"/>
      <c r="S29" s="50"/>
      <c r="T29" s="50"/>
    </row>
    <row r="30" spans="2:20" ht="15">
      <c r="B30" s="51"/>
      <c r="C30" s="44"/>
      <c r="D30" s="44"/>
      <c r="E30" s="44"/>
      <c r="F30" s="44"/>
      <c r="G30" s="44"/>
      <c r="H30" s="44"/>
      <c r="I30" s="45"/>
      <c r="K30" s="49"/>
      <c r="L30" s="177"/>
      <c r="M30" s="50"/>
      <c r="N30" s="50"/>
      <c r="O30" s="50"/>
      <c r="P30" s="50"/>
      <c r="Q30" s="50"/>
      <c r="R30" s="50"/>
      <c r="S30" s="50"/>
      <c r="T30" s="50"/>
    </row>
    <row r="31" spans="2:20" ht="15">
      <c r="B31" s="51"/>
      <c r="C31" s="44"/>
      <c r="D31" s="44"/>
      <c r="E31" s="44"/>
      <c r="F31" s="44"/>
      <c r="G31" s="44"/>
      <c r="H31" s="44"/>
      <c r="I31" s="45"/>
      <c r="K31" s="49"/>
      <c r="L31" s="177"/>
      <c r="M31" s="50"/>
      <c r="N31" s="50"/>
      <c r="O31" s="50"/>
      <c r="P31" s="50"/>
      <c r="Q31" s="50"/>
      <c r="R31" s="50"/>
      <c r="S31" s="50"/>
      <c r="T31" s="50"/>
    </row>
    <row r="32" spans="2:20" ht="15">
      <c r="B32" s="51"/>
      <c r="C32" s="44"/>
      <c r="D32" s="44"/>
      <c r="E32" s="44"/>
      <c r="F32" s="44"/>
      <c r="G32" s="44"/>
      <c r="H32" s="44"/>
      <c r="I32" s="45"/>
      <c r="K32" s="49"/>
      <c r="L32" s="177"/>
      <c r="M32" s="50"/>
      <c r="N32" s="50"/>
      <c r="O32" s="50"/>
      <c r="P32" s="50"/>
      <c r="Q32" s="50"/>
      <c r="R32" s="50"/>
      <c r="S32" s="50"/>
      <c r="T32" s="50"/>
    </row>
    <row r="33" spans="2:20" ht="18.75">
      <c r="B33" s="51"/>
      <c r="C33" s="44"/>
      <c r="D33" s="44"/>
      <c r="E33" s="44"/>
      <c r="F33" s="44"/>
      <c r="G33" s="44"/>
      <c r="H33" s="44"/>
      <c r="I33" s="45"/>
      <c r="K33" s="633" t="s">
        <v>62</v>
      </c>
      <c r="L33" s="633"/>
      <c r="M33" s="633"/>
      <c r="N33" s="633"/>
      <c r="O33" s="633"/>
      <c r="P33" s="633"/>
      <c r="Q33" s="633"/>
      <c r="R33" s="633"/>
      <c r="S33" s="633"/>
      <c r="T33" s="633"/>
    </row>
    <row r="34" spans="2:20" ht="18.75">
      <c r="B34" s="51"/>
      <c r="C34" s="44"/>
      <c r="D34" s="44"/>
      <c r="E34" s="44"/>
      <c r="F34" s="44"/>
      <c r="G34" s="44"/>
      <c r="H34" s="44"/>
      <c r="I34" s="45"/>
      <c r="K34" s="633" t="s">
        <v>377</v>
      </c>
      <c r="L34" s="633"/>
      <c r="M34" s="633"/>
      <c r="N34" s="633"/>
      <c r="O34" s="633"/>
      <c r="P34" s="633"/>
      <c r="Q34" s="633"/>
      <c r="R34" s="633"/>
      <c r="S34" s="633"/>
      <c r="T34" s="633"/>
    </row>
    <row r="35" spans="2:20" ht="12.75">
      <c r="B35" s="51"/>
      <c r="C35" s="44"/>
      <c r="D35" s="44"/>
      <c r="E35" s="44"/>
      <c r="F35" s="44"/>
      <c r="G35" s="44"/>
      <c r="H35" s="44"/>
      <c r="I35" s="45"/>
      <c r="K35" s="177"/>
      <c r="L35" s="177"/>
      <c r="M35" s="50"/>
      <c r="N35" s="50"/>
      <c r="O35" s="50"/>
      <c r="P35" s="50"/>
      <c r="Q35" s="50"/>
      <c r="R35" s="50"/>
      <c r="S35" s="50"/>
      <c r="T35" s="50"/>
    </row>
    <row r="36" spans="2:20" ht="15.75">
      <c r="B36" s="51"/>
      <c r="C36" s="44"/>
      <c r="D36" s="44"/>
      <c r="E36" s="44"/>
      <c r="F36" s="44"/>
      <c r="G36" s="44"/>
      <c r="H36" s="44"/>
      <c r="I36" s="45"/>
      <c r="K36" s="464" t="s">
        <v>337</v>
      </c>
      <c r="L36" s="177"/>
      <c r="M36" s="50"/>
      <c r="N36" s="50"/>
      <c r="O36" s="50"/>
      <c r="P36" s="50"/>
      <c r="Q36" s="186" t="s">
        <v>63</v>
      </c>
      <c r="R36" s="50"/>
      <c r="S36" s="50"/>
      <c r="T36" s="50"/>
    </row>
    <row r="37" spans="2:20" ht="16.5" thickBot="1">
      <c r="B37" s="51"/>
      <c r="C37" s="44"/>
      <c r="D37" s="44"/>
      <c r="E37" s="44"/>
      <c r="F37" s="44"/>
      <c r="G37" s="44"/>
      <c r="H37" s="44"/>
      <c r="I37" s="45"/>
      <c r="K37" s="185" t="s">
        <v>335</v>
      </c>
      <c r="L37" s="50"/>
      <c r="M37" s="50"/>
      <c r="N37" s="50"/>
      <c r="O37" s="50"/>
      <c r="P37" s="187"/>
      <c r="Q37" s="186" t="s">
        <v>257</v>
      </c>
      <c r="R37" s="186" t="s">
        <v>367</v>
      </c>
      <c r="S37" s="50"/>
      <c r="T37" s="50"/>
    </row>
    <row r="38" spans="2:20" ht="30" customHeight="1">
      <c r="B38" s="51"/>
      <c r="C38" s="44"/>
      <c r="D38" s="44"/>
      <c r="E38" s="44"/>
      <c r="F38" s="44"/>
      <c r="G38" s="44"/>
      <c r="H38" s="44"/>
      <c r="I38" s="45"/>
      <c r="K38" s="634" t="s">
        <v>72</v>
      </c>
      <c r="L38" s="637" t="s">
        <v>64</v>
      </c>
      <c r="M38" s="638"/>
      <c r="N38" s="638"/>
      <c r="O38" s="638"/>
      <c r="P38" s="638"/>
      <c r="Q38" s="638"/>
      <c r="R38" s="638"/>
      <c r="S38" s="638"/>
      <c r="T38" s="639"/>
    </row>
    <row r="39" spans="2:20" ht="30" customHeight="1" thickBot="1">
      <c r="B39" s="69"/>
      <c r="C39" s="46"/>
      <c r="D39" s="46"/>
      <c r="E39" s="46"/>
      <c r="F39" s="46"/>
      <c r="G39" s="46"/>
      <c r="H39" s="46"/>
      <c r="I39" s="47"/>
      <c r="K39" s="635"/>
      <c r="L39" s="640" t="s">
        <v>65</v>
      </c>
      <c r="M39" s="641"/>
      <c r="N39" s="641"/>
      <c r="O39" s="642"/>
      <c r="P39" s="655">
        <f>'03. SKP-KPT'!I5</f>
        <v>0</v>
      </c>
      <c r="Q39" s="656"/>
      <c r="R39" s="656"/>
      <c r="S39" s="656"/>
      <c r="T39" s="657"/>
    </row>
    <row r="40" spans="2:20" ht="30" customHeight="1">
      <c r="B40" s="70"/>
      <c r="C40" s="67"/>
      <c r="D40" s="67"/>
      <c r="E40" s="74" t="s">
        <v>256</v>
      </c>
      <c r="F40" s="67"/>
      <c r="G40" s="180" t="s">
        <v>368</v>
      </c>
      <c r="H40" s="67"/>
      <c r="I40" s="68"/>
      <c r="K40" s="635"/>
      <c r="L40" s="640" t="s">
        <v>66</v>
      </c>
      <c r="M40" s="641"/>
      <c r="N40" s="641"/>
      <c r="O40" s="642"/>
      <c r="P40" s="655">
        <f>'03. SKP-KPT'!I6</f>
        <v>0</v>
      </c>
      <c r="Q40" s="656"/>
      <c r="R40" s="656"/>
      <c r="S40" s="656"/>
      <c r="T40" s="657"/>
    </row>
    <row r="41" spans="2:20" ht="30" customHeight="1">
      <c r="B41" s="51"/>
      <c r="C41" s="44"/>
      <c r="D41" s="44"/>
      <c r="E41" s="643" t="s">
        <v>70</v>
      </c>
      <c r="F41" s="643"/>
      <c r="G41" s="643"/>
      <c r="H41" s="643"/>
      <c r="I41" s="644"/>
      <c r="K41" s="635"/>
      <c r="L41" s="640" t="s">
        <v>67</v>
      </c>
      <c r="M41" s="641"/>
      <c r="N41" s="641"/>
      <c r="O41" s="642"/>
      <c r="P41" s="655">
        <f>'03. SKP-KPT'!I7</f>
        <v>0</v>
      </c>
      <c r="Q41" s="656"/>
      <c r="R41" s="656"/>
      <c r="S41" s="656"/>
      <c r="T41" s="657"/>
    </row>
    <row r="42" spans="2:20" ht="30" customHeight="1">
      <c r="B42" s="51"/>
      <c r="C42" s="44"/>
      <c r="D42" s="44"/>
      <c r="E42" s="44"/>
      <c r="F42" s="44"/>
      <c r="G42" s="44"/>
      <c r="H42" s="44"/>
      <c r="I42" s="45"/>
      <c r="K42" s="635"/>
      <c r="L42" s="640" t="s">
        <v>68</v>
      </c>
      <c r="M42" s="641"/>
      <c r="N42" s="641"/>
      <c r="O42" s="642"/>
      <c r="P42" s="655">
        <f>'03. SKP-KPT'!I8</f>
        <v>0</v>
      </c>
      <c r="Q42" s="656"/>
      <c r="R42" s="656"/>
      <c r="S42" s="656"/>
      <c r="T42" s="657"/>
    </row>
    <row r="43" spans="2:20" ht="30" customHeight="1" thickBot="1">
      <c r="B43" s="51"/>
      <c r="C43" s="44"/>
      <c r="D43" s="44"/>
      <c r="E43" s="651" t="str">
        <f>'03. SKP-KPT'!D5</f>
        <v>Dr. Ir. Amir Hamzah, MP.</v>
      </c>
      <c r="F43" s="651"/>
      <c r="G43" s="651"/>
      <c r="H43" s="651"/>
      <c r="I43" s="652"/>
      <c r="K43" s="636"/>
      <c r="L43" s="645" t="s">
        <v>69</v>
      </c>
      <c r="M43" s="646"/>
      <c r="N43" s="646"/>
      <c r="O43" s="647"/>
      <c r="P43" s="658" t="str">
        <f>'03. SKP-KPT'!I9</f>
        <v>Universitas Tribhuwana Tunggadewi</v>
      </c>
      <c r="Q43" s="659"/>
      <c r="R43" s="659"/>
      <c r="S43" s="659"/>
      <c r="T43" s="660"/>
    </row>
    <row r="44" spans="2:20" ht="30" customHeight="1">
      <c r="B44" s="51"/>
      <c r="D44" s="44"/>
      <c r="E44" s="648" t="str">
        <f>'03. SKP-KPT'!D6</f>
        <v>196705272005011001</v>
      </c>
      <c r="F44" s="649"/>
      <c r="G44" s="649"/>
      <c r="H44" s="649"/>
      <c r="I44" s="650"/>
      <c r="K44" s="634" t="s">
        <v>73</v>
      </c>
      <c r="L44" s="637" t="s">
        <v>70</v>
      </c>
      <c r="M44" s="638"/>
      <c r="N44" s="638"/>
      <c r="O44" s="638"/>
      <c r="P44" s="638"/>
      <c r="Q44" s="638"/>
      <c r="R44" s="638"/>
      <c r="S44" s="638"/>
      <c r="T44" s="639"/>
    </row>
    <row r="45" spans="2:20" ht="30" customHeight="1">
      <c r="B45" s="71" t="s">
        <v>77</v>
      </c>
      <c r="C45" s="179" t="s">
        <v>369</v>
      </c>
      <c r="D45" s="44"/>
      <c r="E45" s="178"/>
      <c r="F45" s="178"/>
      <c r="G45" s="77"/>
      <c r="H45" s="77"/>
      <c r="I45" s="78"/>
      <c r="K45" s="635"/>
      <c r="L45" s="640" t="s">
        <v>65</v>
      </c>
      <c r="M45" s="641"/>
      <c r="N45" s="641"/>
      <c r="O45" s="642"/>
      <c r="P45" s="655" t="str">
        <f>'03. SKP-KPT'!D5</f>
        <v>Dr. Ir. Amir Hamzah, MP.</v>
      </c>
      <c r="Q45" s="656"/>
      <c r="R45" s="656"/>
      <c r="S45" s="656"/>
      <c r="T45" s="657"/>
    </row>
    <row r="46" spans="2:20" ht="30" customHeight="1">
      <c r="B46" s="71"/>
      <c r="C46" s="643" t="s">
        <v>334</v>
      </c>
      <c r="D46" s="643"/>
      <c r="E46" s="643"/>
      <c r="F46" s="44"/>
      <c r="G46" s="44"/>
      <c r="H46" s="44"/>
      <c r="I46" s="45"/>
      <c r="K46" s="635"/>
      <c r="L46" s="640" t="s">
        <v>66</v>
      </c>
      <c r="M46" s="641"/>
      <c r="N46" s="641"/>
      <c r="O46" s="642"/>
      <c r="P46" s="655" t="str">
        <f>'03. SKP-KPT'!D6</f>
        <v>196705272005011001</v>
      </c>
      <c r="Q46" s="656"/>
      <c r="R46" s="656"/>
      <c r="S46" s="656"/>
      <c r="T46" s="657"/>
    </row>
    <row r="47" spans="2:20" ht="30" customHeight="1">
      <c r="B47" s="51"/>
      <c r="C47" s="75"/>
      <c r="D47" s="76"/>
      <c r="E47" s="76"/>
      <c r="F47" s="44"/>
      <c r="G47" s="44"/>
      <c r="H47" s="44"/>
      <c r="I47" s="45"/>
      <c r="K47" s="635"/>
      <c r="L47" s="640" t="s">
        <v>67</v>
      </c>
      <c r="M47" s="641"/>
      <c r="N47" s="641"/>
      <c r="O47" s="642"/>
      <c r="P47" s="655" t="str">
        <f>'03. SKP-KPT'!D7</f>
        <v>Pembina / IVa</v>
      </c>
      <c r="Q47" s="656"/>
      <c r="R47" s="656"/>
      <c r="S47" s="656"/>
      <c r="T47" s="657"/>
    </row>
    <row r="48" spans="2:20" ht="30" customHeight="1">
      <c r="B48" s="51"/>
      <c r="C48" s="653">
        <f>'03. SKP-KPT'!I5</f>
        <v>0</v>
      </c>
      <c r="D48" s="653"/>
      <c r="E48" s="653"/>
      <c r="F48" s="44"/>
      <c r="G48" s="44"/>
      <c r="H48" s="44"/>
      <c r="I48" s="45"/>
      <c r="K48" s="635"/>
      <c r="L48" s="640" t="s">
        <v>68</v>
      </c>
      <c r="M48" s="641"/>
      <c r="N48" s="641"/>
      <c r="O48" s="642"/>
      <c r="P48" s="655" t="str">
        <f>'03. SKP-KPT'!D8</f>
        <v>Dekan Fakultas Pertanian</v>
      </c>
      <c r="Q48" s="656"/>
      <c r="R48" s="656"/>
      <c r="S48" s="656"/>
      <c r="T48" s="657"/>
    </row>
    <row r="49" spans="2:20" ht="30" customHeight="1" thickBot="1">
      <c r="B49" s="51"/>
      <c r="C49" s="654">
        <f>'03. SKP-KPT'!I6</f>
        <v>0</v>
      </c>
      <c r="D49" s="654"/>
      <c r="E49" s="654"/>
      <c r="F49" s="44"/>
      <c r="G49" s="44"/>
      <c r="H49" s="44"/>
      <c r="I49" s="45"/>
      <c r="K49" s="636"/>
      <c r="L49" s="645" t="s">
        <v>69</v>
      </c>
      <c r="M49" s="646"/>
      <c r="N49" s="646"/>
      <c r="O49" s="647"/>
      <c r="P49" s="658" t="str">
        <f>'03. SKP-KPT'!D9</f>
        <v>Universitas Tribhuwana Tunggadewi</v>
      </c>
      <c r="Q49" s="659"/>
      <c r="R49" s="659"/>
      <c r="S49" s="659"/>
      <c r="T49" s="660"/>
    </row>
    <row r="50" spans="2:20" ht="30" customHeight="1">
      <c r="B50" s="51"/>
      <c r="C50" s="79"/>
      <c r="D50" s="79"/>
      <c r="E50" s="73" t="s">
        <v>370</v>
      </c>
      <c r="F50" s="44"/>
      <c r="G50" s="44"/>
      <c r="H50" s="44"/>
      <c r="I50" s="45"/>
      <c r="K50" s="634" t="s">
        <v>74</v>
      </c>
      <c r="L50" s="637" t="s">
        <v>71</v>
      </c>
      <c r="M50" s="638"/>
      <c r="N50" s="638"/>
      <c r="O50" s="638"/>
      <c r="P50" s="638"/>
      <c r="Q50" s="638"/>
      <c r="R50" s="638"/>
      <c r="S50" s="638"/>
      <c r="T50" s="639"/>
    </row>
    <row r="51" spans="2:20" ht="30" customHeight="1">
      <c r="B51" s="51"/>
      <c r="C51" s="80"/>
      <c r="D51" s="80"/>
      <c r="E51" s="643" t="s">
        <v>71</v>
      </c>
      <c r="F51" s="643"/>
      <c r="G51" s="643"/>
      <c r="H51" s="643"/>
      <c r="I51" s="644"/>
      <c r="K51" s="635"/>
      <c r="L51" s="640" t="s">
        <v>65</v>
      </c>
      <c r="M51" s="641"/>
      <c r="N51" s="641"/>
      <c r="O51" s="642"/>
      <c r="P51" s="445" t="s">
        <v>322</v>
      </c>
      <c r="Q51" s="443"/>
      <c r="R51" s="443"/>
      <c r="S51" s="443"/>
      <c r="T51" s="444"/>
    </row>
    <row r="52" spans="2:20" ht="30" customHeight="1">
      <c r="B52" s="51"/>
      <c r="C52" s="44"/>
      <c r="D52" s="44"/>
      <c r="E52" s="44"/>
      <c r="F52" s="44"/>
      <c r="G52" s="44"/>
      <c r="H52" s="44"/>
      <c r="I52" s="45"/>
      <c r="K52" s="635"/>
      <c r="L52" s="640" t="s">
        <v>66</v>
      </c>
      <c r="M52" s="641"/>
      <c r="N52" s="641"/>
      <c r="O52" s="642"/>
      <c r="P52" s="446" t="s">
        <v>323</v>
      </c>
      <c r="Q52" s="443"/>
      <c r="R52" s="443"/>
      <c r="S52" s="443"/>
      <c r="T52" s="444"/>
    </row>
    <row r="53" spans="2:20" ht="30" customHeight="1">
      <c r="B53" s="51"/>
      <c r="C53" s="44"/>
      <c r="D53" s="44"/>
      <c r="E53" s="651" t="str">
        <f>P51</f>
        <v>Prof. Dr. Ir. Eko Handayanto, MSc</v>
      </c>
      <c r="F53" s="651"/>
      <c r="G53" s="651"/>
      <c r="H53" s="651"/>
      <c r="I53" s="652"/>
      <c r="K53" s="635"/>
      <c r="L53" s="640" t="s">
        <v>67</v>
      </c>
      <c r="M53" s="641"/>
      <c r="N53" s="641"/>
      <c r="O53" s="642"/>
      <c r="P53" s="445" t="s">
        <v>378</v>
      </c>
      <c r="Q53" s="443"/>
      <c r="R53" s="443"/>
      <c r="S53" s="443"/>
      <c r="T53" s="444"/>
    </row>
    <row r="54" spans="2:20" ht="30" customHeight="1">
      <c r="B54" s="51"/>
      <c r="C54" s="44"/>
      <c r="D54" s="44"/>
      <c r="E54" s="649" t="str">
        <f>P52</f>
        <v>195203051979031004</v>
      </c>
      <c r="F54" s="649"/>
      <c r="G54" s="649"/>
      <c r="H54" s="649"/>
      <c r="I54" s="650"/>
      <c r="K54" s="635"/>
      <c r="L54" s="640" t="s">
        <v>68</v>
      </c>
      <c r="M54" s="641"/>
      <c r="N54" s="641"/>
      <c r="O54" s="642"/>
      <c r="P54" s="445" t="s">
        <v>237</v>
      </c>
      <c r="Q54" s="443"/>
      <c r="R54" s="443"/>
      <c r="S54" s="443"/>
      <c r="T54" s="444"/>
    </row>
    <row r="55" spans="2:20" ht="30" customHeight="1" thickBot="1">
      <c r="B55" s="69"/>
      <c r="C55" s="46"/>
      <c r="D55" s="46"/>
      <c r="E55" s="46"/>
      <c r="F55" s="46"/>
      <c r="G55" s="46"/>
      <c r="H55" s="46"/>
      <c r="I55" s="47"/>
      <c r="K55" s="636"/>
      <c r="L55" s="645" t="s">
        <v>69</v>
      </c>
      <c r="M55" s="646"/>
      <c r="N55" s="646"/>
      <c r="O55" s="647"/>
      <c r="P55" s="440" t="s">
        <v>308</v>
      </c>
      <c r="Q55" s="441"/>
      <c r="R55" s="441"/>
      <c r="S55" s="441"/>
      <c r="T55" s="442"/>
    </row>
  </sheetData>
  <sheetProtection/>
  <mergeCells count="79">
    <mergeCell ref="E53:I53"/>
    <mergeCell ref="E54:I54"/>
    <mergeCell ref="P39:T39"/>
    <mergeCell ref="P40:T40"/>
    <mergeCell ref="P41:T41"/>
    <mergeCell ref="P42:T42"/>
    <mergeCell ref="P43:T43"/>
    <mergeCell ref="P45:T45"/>
    <mergeCell ref="P46:T46"/>
    <mergeCell ref="P47:T47"/>
    <mergeCell ref="E44:I44"/>
    <mergeCell ref="E43:I43"/>
    <mergeCell ref="C46:E46"/>
    <mergeCell ref="C48:E48"/>
    <mergeCell ref="C49:E49"/>
    <mergeCell ref="P48:T48"/>
    <mergeCell ref="P49:T49"/>
    <mergeCell ref="E51:I51"/>
    <mergeCell ref="L48:O48"/>
    <mergeCell ref="L49:O49"/>
    <mergeCell ref="K50:K55"/>
    <mergeCell ref="L51:O51"/>
    <mergeCell ref="L52:O52"/>
    <mergeCell ref="L53:O53"/>
    <mergeCell ref="L54:O54"/>
    <mergeCell ref="L55:O55"/>
    <mergeCell ref="L50:T50"/>
    <mergeCell ref="E41:I41"/>
    <mergeCell ref="B22:I22"/>
    <mergeCell ref="L41:O41"/>
    <mergeCell ref="L42:O42"/>
    <mergeCell ref="L43:O43"/>
    <mergeCell ref="K44:K49"/>
    <mergeCell ref="L44:T44"/>
    <mergeCell ref="L45:O45"/>
    <mergeCell ref="L46:O46"/>
    <mergeCell ref="L47:O47"/>
    <mergeCell ref="K33:T33"/>
    <mergeCell ref="K34:T34"/>
    <mergeCell ref="K38:K43"/>
    <mergeCell ref="L38:T38"/>
    <mergeCell ref="L39:O39"/>
    <mergeCell ref="L40:O40"/>
    <mergeCell ref="K2:T2"/>
    <mergeCell ref="K3:T3"/>
    <mergeCell ref="K11:T11"/>
    <mergeCell ref="K12:T12"/>
    <mergeCell ref="K24:T24"/>
    <mergeCell ref="K10:T10"/>
    <mergeCell ref="B25:I25"/>
    <mergeCell ref="C3:D3"/>
    <mergeCell ref="D4:E4"/>
    <mergeCell ref="D5:E5"/>
    <mergeCell ref="D6:E6"/>
    <mergeCell ref="D7:E7"/>
    <mergeCell ref="B14:H14"/>
    <mergeCell ref="B17:I17"/>
    <mergeCell ref="G6:H6"/>
    <mergeCell ref="G7:H7"/>
    <mergeCell ref="G4:H4"/>
    <mergeCell ref="G5:H5"/>
    <mergeCell ref="D9:E9"/>
    <mergeCell ref="D10:E10"/>
    <mergeCell ref="B23:I23"/>
    <mergeCell ref="B24:I24"/>
    <mergeCell ref="G8:H8"/>
    <mergeCell ref="G9:H9"/>
    <mergeCell ref="G10:H10"/>
    <mergeCell ref="G11:H11"/>
    <mergeCell ref="D11:E11"/>
    <mergeCell ref="D12:E12"/>
    <mergeCell ref="B15:I15"/>
    <mergeCell ref="B16:I16"/>
    <mergeCell ref="B21:I21"/>
    <mergeCell ref="B2:B12"/>
    <mergeCell ref="C2:H2"/>
    <mergeCell ref="C4:C12"/>
    <mergeCell ref="B13:H13"/>
    <mergeCell ref="D8:E8"/>
  </mergeCells>
  <printOptions/>
  <pageMargins left="0.47244094488189" right="0.196850393700787" top="0.53" bottom="0.6" header="0.31496062992126" footer="0.31496062992126"/>
  <pageSetup horizontalDpi="600" verticalDpi="600" orientation="landscape" paperSize="9" scale="70" r:id="rId2"/>
  <rowBreaks count="1" manualBreakCount="1">
    <brk id="26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bkn</dc:creator>
  <cp:keywords/>
  <dc:description/>
  <cp:lastModifiedBy>IrawanArchitect</cp:lastModifiedBy>
  <cp:lastPrinted>2019-02-01T07:41:56Z</cp:lastPrinted>
  <dcterms:created xsi:type="dcterms:W3CDTF">2010-10-07T03:41:24Z</dcterms:created>
  <dcterms:modified xsi:type="dcterms:W3CDTF">2020-05-05T03:47:41Z</dcterms:modified>
  <cp:category/>
  <cp:version/>
  <cp:contentType/>
  <cp:contentStatus/>
</cp:coreProperties>
</file>